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195" activeTab="0"/>
  </bookViews>
  <sheets>
    <sheet name="Sheet1" sheetId="1" r:id="rId1"/>
    <sheet name="Sheet2" sheetId="2" r:id="rId2"/>
    <sheet name="Sheet3" sheetId="3" r:id="rId3"/>
    <sheet name="DV-IDENTITY-0" sheetId="4" state="veryHidden" r:id="rId4"/>
  </sheets>
  <definedNames>
    <definedName name="_xlfn.SINGLE" hidden="1">#NAME?</definedName>
    <definedName name="_xlnm.Print_Area" localSheetId="0">'Sheet1'!$A$1:$BL$75</definedName>
  </definedNames>
  <calcPr fullCalcOnLoad="1"/>
</workbook>
</file>

<file path=xl/sharedStrings.xml><?xml version="1.0" encoding="utf-8"?>
<sst xmlns="http://schemas.openxmlformats.org/spreadsheetml/2006/main" count="48" uniqueCount="36">
  <si>
    <t>The University of Alabama in Huntsville</t>
  </si>
  <si>
    <t>TRANSFER AUTHORIZATION</t>
  </si>
  <si>
    <t>Date</t>
  </si>
  <si>
    <t>Budget Unit Credited</t>
  </si>
  <si>
    <t>Budget Unit Charged</t>
  </si>
  <si>
    <t>Approvals</t>
  </si>
  <si>
    <t>TRANSFER COST:</t>
  </si>
  <si>
    <t>TO:</t>
  </si>
  <si>
    <t>FROM:</t>
  </si>
  <si>
    <t>BUDGET UNIT TO BE CHARGED</t>
  </si>
  <si>
    <t>BUDGET UNIT TO BE CREDITED</t>
  </si>
  <si>
    <t>QUANTITY</t>
  </si>
  <si>
    <t>DESCRIPTION</t>
  </si>
  <si>
    <t>TOTAL</t>
  </si>
  <si>
    <t>DATE:</t>
  </si>
  <si>
    <t>Unit Price</t>
  </si>
  <si>
    <t>Total Amount</t>
  </si>
  <si>
    <t>INDEX NUMBER</t>
  </si>
  <si>
    <t>Printed Name</t>
  </si>
  <si>
    <t>-----&gt;</t>
  </si>
  <si>
    <t>sign</t>
  </si>
  <si>
    <t>----&gt;</t>
  </si>
  <si>
    <t>Office of Sponsored Programs</t>
  </si>
  <si>
    <t>(Required if contract or grant)</t>
  </si>
  <si>
    <t>Accounting &amp; Financial Reporting</t>
  </si>
  <si>
    <t xml:space="preserve">   - the expenses indicated hereon were incurred by me in the performance of official University of Alabama in Huntsville</t>
  </si>
  <si>
    <t xml:space="preserve">          business pursuant to authority granted to me.</t>
  </si>
  <si>
    <t xml:space="preserve">   - I have not been and will not be reimbursed for any of these expenses by any other entity </t>
  </si>
  <si>
    <t xml:space="preserve">   - there are no alcoholic beverages included in these expenses</t>
  </si>
  <si>
    <t xml:space="preserve">   - I agree to the rate at which I am being reimbursed</t>
  </si>
  <si>
    <t xml:space="preserve">   - this voucher has been completed in compliance with University of Alabama in Huntsville policies and no expenses included</t>
  </si>
  <si>
    <t xml:space="preserve">         herein have been previously submitted.</t>
  </si>
  <si>
    <t>AFR 9-29-08</t>
  </si>
  <si>
    <t>I certify that:</t>
  </si>
  <si>
    <t>AAAAAH/P/RA=</t>
  </si>
  <si>
    <t>AAAAAH/P/RE=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</si>
</sst>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m/d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2">
    <font>
      <sz val="10"/>
      <name val="Arial"/>
      <family val="0"/>
    </font>
    <font>
      <sz val="8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0" fillId="33" borderId="0" xfId="0" applyFill="1" applyAlignment="1" quotePrefix="1">
      <alignment/>
    </xf>
    <xf numFmtId="0" fontId="1" fillId="33" borderId="0" xfId="0" applyFont="1" applyFill="1" applyBorder="1" applyAlignment="1">
      <alignment horizontal="left"/>
    </xf>
    <xf numFmtId="0" fontId="1" fillId="33" borderId="0" xfId="0" applyFont="1" applyFill="1" applyAlignment="1">
      <alignment/>
    </xf>
    <xf numFmtId="0" fontId="0" fillId="33" borderId="0" xfId="0" applyFill="1" applyBorder="1" applyAlignment="1">
      <alignment horizontal="right"/>
    </xf>
    <xf numFmtId="0" fontId="3" fillId="33" borderId="0" xfId="0" applyFont="1" applyFill="1" applyBorder="1" applyAlignment="1" applyProtection="1">
      <alignment horizontal="center"/>
      <protection locked="0"/>
    </xf>
    <xf numFmtId="44" fontId="0" fillId="33" borderId="0" xfId="44" applyFont="1" applyFill="1" applyBorder="1" applyAlignment="1" applyProtection="1">
      <alignment horizontal="center"/>
      <protection locked="0"/>
    </xf>
    <xf numFmtId="44" fontId="0" fillId="33" borderId="0" xfId="44" applyFont="1" applyFill="1" applyBorder="1" applyAlignment="1" applyProtection="1">
      <alignment horizontal="center"/>
      <protection/>
    </xf>
    <xf numFmtId="44" fontId="0" fillId="33" borderId="13" xfId="44" applyFont="1" applyFill="1" applyBorder="1" applyAlignment="1" applyProtection="1">
      <alignment horizontal="center"/>
      <protection/>
    </xf>
    <xf numFmtId="0" fontId="1" fillId="33" borderId="0" xfId="0" applyFont="1" applyFill="1" applyBorder="1" applyAlignment="1">
      <alignment/>
    </xf>
    <xf numFmtId="0" fontId="0" fillId="33" borderId="0" xfId="0" applyFill="1" applyBorder="1" applyAlignment="1" quotePrefix="1">
      <alignment/>
    </xf>
    <xf numFmtId="0" fontId="1" fillId="33" borderId="10" xfId="0" applyFont="1" applyFill="1" applyBorder="1" applyAlignment="1">
      <alignment horizontal="left"/>
    </xf>
    <xf numFmtId="0" fontId="1" fillId="33" borderId="10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 quotePrefix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4" fillId="33" borderId="15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3" fillId="33" borderId="17" xfId="0" applyFont="1" applyFill="1" applyBorder="1" applyAlignment="1">
      <alignment horizontal="center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18" xfId="0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5" fillId="0" borderId="18" xfId="0" applyFont="1" applyFill="1" applyBorder="1" applyAlignment="1" applyProtection="1">
      <alignment horizontal="center"/>
      <protection locked="0"/>
    </xf>
    <xf numFmtId="0" fontId="3" fillId="0" borderId="19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3" fillId="0" borderId="20" xfId="0" applyFont="1" applyFill="1" applyBorder="1" applyAlignment="1" applyProtection="1">
      <alignment horizontal="left"/>
      <protection locked="0"/>
    </xf>
    <xf numFmtId="0" fontId="2" fillId="33" borderId="0" xfId="0" applyFont="1" applyFill="1" applyAlignment="1">
      <alignment horizontal="center"/>
    </xf>
    <xf numFmtId="0" fontId="3" fillId="33" borderId="21" xfId="0" applyFont="1" applyFill="1" applyBorder="1" applyAlignment="1" applyProtection="1">
      <alignment horizontal="center"/>
      <protection/>
    </xf>
    <xf numFmtId="0" fontId="3" fillId="33" borderId="15" xfId="0" applyFont="1" applyFill="1" applyBorder="1" applyAlignment="1" applyProtection="1">
      <alignment horizontal="center"/>
      <protection/>
    </xf>
    <xf numFmtId="0" fontId="3" fillId="33" borderId="16" xfId="0" applyFont="1" applyFill="1" applyBorder="1" applyAlignment="1" applyProtection="1">
      <alignment horizontal="center"/>
      <protection/>
    </xf>
    <xf numFmtId="0" fontId="3" fillId="33" borderId="22" xfId="0" applyFont="1" applyFill="1" applyBorder="1" applyAlignment="1" applyProtection="1">
      <alignment horizontal="center"/>
      <protection/>
    </xf>
    <xf numFmtId="0" fontId="3" fillId="33" borderId="18" xfId="0" applyFont="1" applyFill="1" applyBorder="1" applyAlignment="1" applyProtection="1">
      <alignment horizontal="center"/>
      <protection/>
    </xf>
    <xf numFmtId="0" fontId="3" fillId="33" borderId="23" xfId="0" applyFont="1" applyFill="1" applyBorder="1" applyAlignment="1" applyProtection="1">
      <alignment horizontal="center"/>
      <protection/>
    </xf>
    <xf numFmtId="0" fontId="3" fillId="33" borderId="14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/>
    </xf>
    <xf numFmtId="0" fontId="3" fillId="33" borderId="25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164" fontId="0" fillId="0" borderId="18" xfId="0" applyNumberFormat="1" applyFill="1" applyBorder="1" applyAlignment="1" applyProtection="1">
      <alignment horizontal="center"/>
      <protection locked="0"/>
    </xf>
    <xf numFmtId="0" fontId="3" fillId="0" borderId="27" xfId="0" applyFont="1" applyFill="1" applyBorder="1" applyAlignment="1" applyProtection="1">
      <alignment horizontal="center"/>
      <protection locked="0"/>
    </xf>
    <xf numFmtId="0" fontId="3" fillId="0" borderId="17" xfId="0" applyFont="1" applyFill="1" applyBorder="1" applyAlignment="1" applyProtection="1">
      <alignment horizontal="center"/>
      <protection locked="0"/>
    </xf>
    <xf numFmtId="0" fontId="3" fillId="0" borderId="28" xfId="0" applyFont="1" applyFill="1" applyBorder="1" applyAlignment="1" applyProtection="1">
      <alignment horizontal="center"/>
      <protection locked="0"/>
    </xf>
    <xf numFmtId="0" fontId="3" fillId="0" borderId="22" xfId="0" applyFont="1" applyFill="1" applyBorder="1" applyAlignment="1" applyProtection="1">
      <alignment horizontal="center"/>
      <protection locked="0"/>
    </xf>
    <xf numFmtId="0" fontId="3" fillId="0" borderId="18" xfId="0" applyFont="1" applyFill="1" applyBorder="1" applyAlignment="1" applyProtection="1">
      <alignment horizontal="center"/>
      <protection locked="0"/>
    </xf>
    <xf numFmtId="0" fontId="3" fillId="0" borderId="26" xfId="0" applyFont="1" applyFill="1" applyBorder="1" applyAlignment="1" applyProtection="1">
      <alignment horizontal="center"/>
      <protection locked="0"/>
    </xf>
    <xf numFmtId="0" fontId="3" fillId="33" borderId="29" xfId="0" applyFont="1" applyFill="1" applyBorder="1" applyAlignment="1">
      <alignment horizontal="center"/>
    </xf>
    <xf numFmtId="0" fontId="3" fillId="33" borderId="30" xfId="0" applyFont="1" applyFill="1" applyBorder="1" applyAlignment="1">
      <alignment horizontal="center"/>
    </xf>
    <xf numFmtId="0" fontId="3" fillId="33" borderId="31" xfId="0" applyFont="1" applyFill="1" applyBorder="1" applyAlignment="1">
      <alignment horizontal="center"/>
    </xf>
    <xf numFmtId="0" fontId="3" fillId="0" borderId="32" xfId="0" applyFont="1" applyFill="1" applyBorder="1" applyAlignment="1" applyProtection="1">
      <alignment horizontal="center"/>
      <protection locked="0"/>
    </xf>
    <xf numFmtId="0" fontId="3" fillId="0" borderId="1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20" xfId="0" applyFont="1" applyFill="1" applyBorder="1" applyAlignment="1" applyProtection="1">
      <alignment horizontal="center"/>
      <protection locked="0"/>
    </xf>
    <xf numFmtId="44" fontId="0" fillId="33" borderId="27" xfId="44" applyFont="1" applyFill="1" applyBorder="1" applyAlignment="1" applyProtection="1">
      <alignment horizontal="center"/>
      <protection/>
    </xf>
    <xf numFmtId="44" fontId="0" fillId="33" borderId="17" xfId="44" applyFont="1" applyFill="1" applyBorder="1" applyAlignment="1" applyProtection="1">
      <alignment horizontal="center"/>
      <protection/>
    </xf>
    <xf numFmtId="44" fontId="0" fillId="33" borderId="33" xfId="44" applyFont="1" applyFill="1" applyBorder="1" applyAlignment="1" applyProtection="1">
      <alignment horizontal="center"/>
      <protection/>
    </xf>
    <xf numFmtId="0" fontId="3" fillId="33" borderId="12" xfId="0" applyFont="1" applyFill="1" applyBorder="1" applyAlignment="1">
      <alignment horizontal="center"/>
    </xf>
    <xf numFmtId="0" fontId="3" fillId="0" borderId="25" xfId="0" applyFont="1" applyFill="1" applyBorder="1" applyAlignment="1" applyProtection="1">
      <alignment horizontal="center"/>
      <protection locked="0"/>
    </xf>
    <xf numFmtId="0" fontId="3" fillId="0" borderId="27" xfId="0" applyFont="1" applyFill="1" applyBorder="1" applyAlignment="1" applyProtection="1">
      <alignment horizontal="left"/>
      <protection locked="0"/>
    </xf>
    <xf numFmtId="0" fontId="3" fillId="0" borderId="17" xfId="0" applyFont="1" applyFill="1" applyBorder="1" applyAlignment="1" applyProtection="1">
      <alignment horizontal="left"/>
      <protection locked="0"/>
    </xf>
    <xf numFmtId="0" fontId="3" fillId="0" borderId="28" xfId="0" applyFont="1" applyFill="1" applyBorder="1" applyAlignment="1" applyProtection="1">
      <alignment horizontal="left"/>
      <protection locked="0"/>
    </xf>
    <xf numFmtId="44" fontId="0" fillId="0" borderId="19" xfId="44" applyFont="1" applyFill="1" applyBorder="1" applyAlignment="1" applyProtection="1">
      <alignment horizontal="center"/>
      <protection locked="0"/>
    </xf>
    <xf numFmtId="44" fontId="0" fillId="0" borderId="0" xfId="44" applyFont="1" applyFill="1" applyBorder="1" applyAlignment="1" applyProtection="1">
      <alignment horizontal="center"/>
      <protection locked="0"/>
    </xf>
    <xf numFmtId="44" fontId="0" fillId="0" borderId="20" xfId="44" applyFont="1" applyFill="1" applyBorder="1" applyAlignment="1" applyProtection="1">
      <alignment horizontal="center"/>
      <protection locked="0"/>
    </xf>
    <xf numFmtId="44" fontId="0" fillId="0" borderId="27" xfId="44" applyFont="1" applyFill="1" applyBorder="1" applyAlignment="1" applyProtection="1">
      <alignment horizontal="center"/>
      <protection locked="0"/>
    </xf>
    <xf numFmtId="44" fontId="0" fillId="0" borderId="17" xfId="44" applyFont="1" applyFill="1" applyBorder="1" applyAlignment="1" applyProtection="1">
      <alignment horizontal="center"/>
      <protection locked="0"/>
    </xf>
    <xf numFmtId="44" fontId="0" fillId="0" borderId="28" xfId="44" applyFont="1" applyFill="1" applyBorder="1" applyAlignment="1" applyProtection="1">
      <alignment horizontal="center"/>
      <protection locked="0"/>
    </xf>
    <xf numFmtId="44" fontId="0" fillId="0" borderId="22" xfId="44" applyFont="1" applyFill="1" applyBorder="1" applyAlignment="1" applyProtection="1">
      <alignment horizontal="center"/>
      <protection locked="0"/>
    </xf>
    <xf numFmtId="44" fontId="0" fillId="0" borderId="18" xfId="44" applyFont="1" applyFill="1" applyBorder="1" applyAlignment="1" applyProtection="1">
      <alignment horizontal="center"/>
      <protection locked="0"/>
    </xf>
    <xf numFmtId="44" fontId="0" fillId="0" borderId="26" xfId="44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>
      <alignment horizontal="center"/>
    </xf>
    <xf numFmtId="0" fontId="3" fillId="0" borderId="22" xfId="0" applyFont="1" applyFill="1" applyBorder="1" applyAlignment="1" applyProtection="1">
      <alignment horizontal="left"/>
      <protection locked="0"/>
    </xf>
    <xf numFmtId="0" fontId="3" fillId="0" borderId="18" xfId="0" applyFont="1" applyFill="1" applyBorder="1" applyAlignment="1" applyProtection="1">
      <alignment horizontal="left"/>
      <protection locked="0"/>
    </xf>
    <xf numFmtId="0" fontId="3" fillId="0" borderId="26" xfId="0" applyFont="1" applyFill="1" applyBorder="1" applyAlignment="1" applyProtection="1">
      <alignment horizontal="left"/>
      <protection locked="0"/>
    </xf>
    <xf numFmtId="0" fontId="0" fillId="33" borderId="17" xfId="0" applyFill="1" applyBorder="1" applyAlignment="1">
      <alignment horizontal="center"/>
    </xf>
    <xf numFmtId="0" fontId="0" fillId="33" borderId="28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44" fontId="0" fillId="33" borderId="35" xfId="44" applyFont="1" applyFill="1" applyBorder="1" applyAlignment="1" applyProtection="1">
      <alignment horizontal="center"/>
      <protection/>
    </xf>
    <xf numFmtId="44" fontId="0" fillId="33" borderId="12" xfId="44" applyFont="1" applyFill="1" applyBorder="1" applyAlignment="1" applyProtection="1">
      <alignment horizontal="center"/>
      <protection/>
    </xf>
    <xf numFmtId="44" fontId="0" fillId="33" borderId="36" xfId="44" applyFont="1" applyFill="1" applyBorder="1" applyAlignment="1" applyProtection="1">
      <alignment horizontal="center"/>
      <protection/>
    </xf>
    <xf numFmtId="164" fontId="0" fillId="0" borderId="23" xfId="0" applyNumberFormat="1" applyFill="1" applyBorder="1" applyAlignment="1" applyProtection="1">
      <alignment horizontal="center"/>
      <protection locked="0"/>
    </xf>
    <xf numFmtId="0" fontId="4" fillId="33" borderId="12" xfId="0" applyFont="1" applyFill="1" applyBorder="1" applyAlignment="1">
      <alignment horizontal="center"/>
    </xf>
    <xf numFmtId="0" fontId="3" fillId="33" borderId="36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74"/>
  <sheetViews>
    <sheetView tabSelected="1" zoomScalePageLayoutView="0" workbookViewId="0" topLeftCell="A1">
      <selection activeCell="I20" sqref="I20:AY20"/>
    </sheetView>
  </sheetViews>
  <sheetFormatPr defaultColWidth="9.140625" defaultRowHeight="12.75"/>
  <cols>
    <col min="1" max="64" width="2.421875" style="0" customWidth="1"/>
    <col min="65" max="125" width="3.140625" style="0" customWidth="1"/>
  </cols>
  <sheetData>
    <row r="1" spans="1:64" ht="20.25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</row>
    <row r="2" spans="1:64" ht="20.25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</row>
    <row r="3" spans="1:64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</row>
    <row r="4" spans="1:64" ht="15">
      <c r="A4" s="3" t="s">
        <v>6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 t="s">
        <v>14</v>
      </c>
      <c r="AT4" s="2"/>
      <c r="AU4" s="2"/>
      <c r="AV4" s="56"/>
      <c r="AW4" s="56"/>
      <c r="AX4" s="56"/>
      <c r="AY4" s="56"/>
      <c r="AZ4" s="56"/>
      <c r="BA4" s="56"/>
      <c r="BB4" s="56"/>
      <c r="BC4" s="2"/>
      <c r="BD4" s="2"/>
      <c r="BE4" s="2"/>
      <c r="BF4" s="2"/>
      <c r="BG4" s="2"/>
      <c r="BH4" s="2"/>
      <c r="BI4" s="2"/>
      <c r="BJ4" s="2"/>
      <c r="BK4" s="2"/>
      <c r="BL4" s="2"/>
    </row>
    <row r="5" spans="1:64" ht="15">
      <c r="A5" s="3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</row>
    <row r="6" spans="1:64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</row>
    <row r="7" spans="1:64" ht="15">
      <c r="A7" s="3" t="s">
        <v>7</v>
      </c>
      <c r="B7" s="2"/>
      <c r="C7" s="2"/>
      <c r="D7" s="63" t="s">
        <v>9</v>
      </c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5"/>
      <c r="AJ7" s="2"/>
      <c r="AK7" s="2"/>
      <c r="AL7" s="2"/>
      <c r="AM7" s="2"/>
      <c r="AN7" s="2"/>
      <c r="AO7" s="2"/>
      <c r="AP7" s="2"/>
      <c r="AQ7" s="2"/>
      <c r="AR7" s="2"/>
      <c r="AS7" s="63" t="s">
        <v>17</v>
      </c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5"/>
    </row>
    <row r="8" spans="1:64" ht="12.75">
      <c r="A8" s="2"/>
      <c r="B8" s="2"/>
      <c r="C8" s="2"/>
      <c r="D8" s="57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9"/>
      <c r="AJ8" s="2"/>
      <c r="AK8" s="2"/>
      <c r="AL8" s="2"/>
      <c r="AM8" s="2"/>
      <c r="AN8" s="2"/>
      <c r="AO8" s="2"/>
      <c r="AP8" s="2"/>
      <c r="AQ8" s="2"/>
      <c r="AR8" s="2"/>
      <c r="AS8" s="57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9"/>
    </row>
    <row r="9" spans="1:64" ht="12.75">
      <c r="A9" s="2"/>
      <c r="B9" s="2"/>
      <c r="C9" s="2"/>
      <c r="D9" s="60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2"/>
      <c r="AJ9" s="2"/>
      <c r="AK9" s="2"/>
      <c r="AL9" s="2"/>
      <c r="AM9" s="2"/>
      <c r="AN9" s="2"/>
      <c r="AO9" s="2"/>
      <c r="AP9" s="2"/>
      <c r="AQ9" s="2"/>
      <c r="AR9" s="2"/>
      <c r="AS9" s="60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2"/>
    </row>
    <row r="10" spans="1:64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</row>
    <row r="11" spans="1:64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</row>
    <row r="12" spans="1:64" ht="15">
      <c r="A12" s="3" t="s">
        <v>8</v>
      </c>
      <c r="B12" s="2"/>
      <c r="C12" s="2"/>
      <c r="D12" s="63" t="s">
        <v>10</v>
      </c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5"/>
      <c r="AJ12" s="2"/>
      <c r="AK12" s="2"/>
      <c r="AL12" s="2"/>
      <c r="AM12" s="2"/>
      <c r="AN12" s="2"/>
      <c r="AO12" s="2"/>
      <c r="AP12" s="2"/>
      <c r="AQ12" s="2"/>
      <c r="AR12" s="2"/>
      <c r="AS12" s="63" t="s">
        <v>17</v>
      </c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5"/>
    </row>
    <row r="13" spans="1:64" ht="12.75">
      <c r="A13" s="2"/>
      <c r="B13" s="2"/>
      <c r="C13" s="2"/>
      <c r="D13" s="57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9"/>
      <c r="AJ13" s="2"/>
      <c r="AK13" s="2"/>
      <c r="AL13" s="2"/>
      <c r="AM13" s="2"/>
      <c r="AN13" s="2"/>
      <c r="AO13" s="2"/>
      <c r="AP13" s="2"/>
      <c r="AQ13" s="2"/>
      <c r="AR13" s="2"/>
      <c r="AS13" s="57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9"/>
    </row>
    <row r="14" spans="1:64" ht="12.75">
      <c r="A14" s="2"/>
      <c r="B14" s="2"/>
      <c r="C14" s="2"/>
      <c r="D14" s="60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2"/>
      <c r="AJ14" s="2"/>
      <c r="AK14" s="2"/>
      <c r="AL14" s="2"/>
      <c r="AM14" s="2"/>
      <c r="AN14" s="2"/>
      <c r="AO14" s="2"/>
      <c r="AP14" s="2"/>
      <c r="AQ14" s="2"/>
      <c r="AR14" s="2"/>
      <c r="AS14" s="60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2"/>
    </row>
    <row r="15" spans="1:64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</row>
    <row r="16" spans="1:64" ht="13.5" thickBo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</row>
    <row r="17" spans="1:64" ht="15">
      <c r="A17" s="2"/>
      <c r="B17" s="2"/>
      <c r="C17" s="2"/>
      <c r="D17" s="48" t="s">
        <v>11</v>
      </c>
      <c r="E17" s="49"/>
      <c r="F17" s="49"/>
      <c r="G17" s="49"/>
      <c r="H17" s="50"/>
      <c r="I17" s="54" t="s">
        <v>12</v>
      </c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50"/>
      <c r="AZ17" s="54" t="s">
        <v>15</v>
      </c>
      <c r="BA17" s="49"/>
      <c r="BB17" s="49"/>
      <c r="BC17" s="49"/>
      <c r="BD17" s="49"/>
      <c r="BE17" s="50"/>
      <c r="BF17" s="42"/>
      <c r="BG17" s="43"/>
      <c r="BH17" s="43"/>
      <c r="BI17" s="43"/>
      <c r="BJ17" s="43"/>
      <c r="BK17" s="43"/>
      <c r="BL17" s="44"/>
    </row>
    <row r="18" spans="1:64" ht="15">
      <c r="A18" s="2"/>
      <c r="B18" s="2"/>
      <c r="C18" s="2"/>
      <c r="D18" s="51"/>
      <c r="E18" s="52"/>
      <c r="F18" s="52"/>
      <c r="G18" s="52"/>
      <c r="H18" s="53"/>
      <c r="I18" s="55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3"/>
      <c r="AZ18" s="55"/>
      <c r="BA18" s="52"/>
      <c r="BB18" s="52"/>
      <c r="BC18" s="52"/>
      <c r="BD18" s="52"/>
      <c r="BE18" s="53"/>
      <c r="BF18" s="45" t="s">
        <v>16</v>
      </c>
      <c r="BG18" s="46"/>
      <c r="BH18" s="46"/>
      <c r="BI18" s="46"/>
      <c r="BJ18" s="46"/>
      <c r="BK18" s="46"/>
      <c r="BL18" s="47"/>
    </row>
    <row r="19" spans="1:64" ht="15">
      <c r="A19" s="2"/>
      <c r="B19" s="2"/>
      <c r="C19" s="2"/>
      <c r="D19" s="66"/>
      <c r="E19" s="58"/>
      <c r="F19" s="58"/>
      <c r="G19" s="58"/>
      <c r="H19" s="59"/>
      <c r="I19" s="75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7"/>
      <c r="AZ19" s="81"/>
      <c r="BA19" s="82"/>
      <c r="BB19" s="82"/>
      <c r="BC19" s="82"/>
      <c r="BD19" s="82"/>
      <c r="BE19" s="83"/>
      <c r="BF19" s="70">
        <f>AZ19*D19</f>
        <v>0</v>
      </c>
      <c r="BG19" s="71"/>
      <c r="BH19" s="71"/>
      <c r="BI19" s="71"/>
      <c r="BJ19" s="71"/>
      <c r="BK19" s="71"/>
      <c r="BL19" s="72"/>
    </row>
    <row r="20" spans="1:64" ht="15">
      <c r="A20" s="2"/>
      <c r="B20" s="2"/>
      <c r="C20" s="2"/>
      <c r="D20" s="67"/>
      <c r="E20" s="68"/>
      <c r="F20" s="68"/>
      <c r="G20" s="68"/>
      <c r="H20" s="69"/>
      <c r="I20" s="38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40"/>
      <c r="AZ20" s="78"/>
      <c r="BA20" s="79"/>
      <c r="BB20" s="79"/>
      <c r="BC20" s="79"/>
      <c r="BD20" s="79"/>
      <c r="BE20" s="80"/>
      <c r="BF20" s="70">
        <f aca="true" t="shared" si="0" ref="BF20:BF41">AZ20*D20</f>
        <v>0</v>
      </c>
      <c r="BG20" s="71"/>
      <c r="BH20" s="71"/>
      <c r="BI20" s="71"/>
      <c r="BJ20" s="71"/>
      <c r="BK20" s="71"/>
      <c r="BL20" s="72"/>
    </row>
    <row r="21" spans="1:64" ht="15">
      <c r="A21" s="2"/>
      <c r="B21" s="2"/>
      <c r="C21" s="2"/>
      <c r="D21" s="67"/>
      <c r="E21" s="68"/>
      <c r="F21" s="68"/>
      <c r="G21" s="68"/>
      <c r="H21" s="69"/>
      <c r="I21" s="38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40"/>
      <c r="AZ21" s="78"/>
      <c r="BA21" s="79"/>
      <c r="BB21" s="79"/>
      <c r="BC21" s="79"/>
      <c r="BD21" s="79"/>
      <c r="BE21" s="80"/>
      <c r="BF21" s="70">
        <f t="shared" si="0"/>
        <v>0</v>
      </c>
      <c r="BG21" s="71"/>
      <c r="BH21" s="71"/>
      <c r="BI21" s="71"/>
      <c r="BJ21" s="71"/>
      <c r="BK21" s="71"/>
      <c r="BL21" s="72"/>
    </row>
    <row r="22" spans="1:64" ht="15">
      <c r="A22" s="2"/>
      <c r="B22" s="2"/>
      <c r="C22" s="2"/>
      <c r="D22" s="67"/>
      <c r="E22" s="68"/>
      <c r="F22" s="68"/>
      <c r="G22" s="68"/>
      <c r="H22" s="69"/>
      <c r="I22" s="38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40"/>
      <c r="AZ22" s="78"/>
      <c r="BA22" s="79"/>
      <c r="BB22" s="79"/>
      <c r="BC22" s="79"/>
      <c r="BD22" s="79"/>
      <c r="BE22" s="80"/>
      <c r="BF22" s="70">
        <f t="shared" si="0"/>
        <v>0</v>
      </c>
      <c r="BG22" s="71"/>
      <c r="BH22" s="71"/>
      <c r="BI22" s="71"/>
      <c r="BJ22" s="71"/>
      <c r="BK22" s="71"/>
      <c r="BL22" s="72"/>
    </row>
    <row r="23" spans="1:64" ht="15">
      <c r="A23" s="2"/>
      <c r="B23" s="2"/>
      <c r="C23" s="2"/>
      <c r="D23" s="67"/>
      <c r="E23" s="68"/>
      <c r="F23" s="68"/>
      <c r="G23" s="68"/>
      <c r="H23" s="69"/>
      <c r="I23" s="38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40"/>
      <c r="AZ23" s="78"/>
      <c r="BA23" s="79"/>
      <c r="BB23" s="79"/>
      <c r="BC23" s="79"/>
      <c r="BD23" s="79"/>
      <c r="BE23" s="80"/>
      <c r="BF23" s="70">
        <f t="shared" si="0"/>
        <v>0</v>
      </c>
      <c r="BG23" s="71"/>
      <c r="BH23" s="71"/>
      <c r="BI23" s="71"/>
      <c r="BJ23" s="71"/>
      <c r="BK23" s="71"/>
      <c r="BL23" s="72"/>
    </row>
    <row r="24" spans="1:64" ht="15">
      <c r="A24" s="2"/>
      <c r="B24" s="2"/>
      <c r="C24" s="2"/>
      <c r="D24" s="67"/>
      <c r="E24" s="68"/>
      <c r="F24" s="68"/>
      <c r="G24" s="68"/>
      <c r="H24" s="69"/>
      <c r="I24" s="38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40"/>
      <c r="AZ24" s="78"/>
      <c r="BA24" s="79"/>
      <c r="BB24" s="79"/>
      <c r="BC24" s="79"/>
      <c r="BD24" s="79"/>
      <c r="BE24" s="80"/>
      <c r="BF24" s="70">
        <f t="shared" si="0"/>
        <v>0</v>
      </c>
      <c r="BG24" s="71"/>
      <c r="BH24" s="71"/>
      <c r="BI24" s="71"/>
      <c r="BJ24" s="71"/>
      <c r="BK24" s="71"/>
      <c r="BL24" s="72"/>
    </row>
    <row r="25" spans="1:64" ht="15">
      <c r="A25" s="2"/>
      <c r="B25" s="2"/>
      <c r="C25" s="2"/>
      <c r="D25" s="67"/>
      <c r="E25" s="68"/>
      <c r="F25" s="68"/>
      <c r="G25" s="68"/>
      <c r="H25" s="69"/>
      <c r="I25" s="38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40"/>
      <c r="AZ25" s="78"/>
      <c r="BA25" s="79"/>
      <c r="BB25" s="79"/>
      <c r="BC25" s="79"/>
      <c r="BD25" s="79"/>
      <c r="BE25" s="80"/>
      <c r="BF25" s="70">
        <f t="shared" si="0"/>
        <v>0</v>
      </c>
      <c r="BG25" s="71"/>
      <c r="BH25" s="71"/>
      <c r="BI25" s="71"/>
      <c r="BJ25" s="71"/>
      <c r="BK25" s="71"/>
      <c r="BL25" s="72"/>
    </row>
    <row r="26" spans="1:64" ht="15">
      <c r="A26" s="2"/>
      <c r="B26" s="2"/>
      <c r="C26" s="2"/>
      <c r="D26" s="67"/>
      <c r="E26" s="68"/>
      <c r="F26" s="68"/>
      <c r="G26" s="68"/>
      <c r="H26" s="69"/>
      <c r="I26" s="38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40"/>
      <c r="AZ26" s="78"/>
      <c r="BA26" s="79"/>
      <c r="BB26" s="79"/>
      <c r="BC26" s="79"/>
      <c r="BD26" s="79"/>
      <c r="BE26" s="80"/>
      <c r="BF26" s="70">
        <f t="shared" si="0"/>
        <v>0</v>
      </c>
      <c r="BG26" s="71"/>
      <c r="BH26" s="71"/>
      <c r="BI26" s="71"/>
      <c r="BJ26" s="71"/>
      <c r="BK26" s="71"/>
      <c r="BL26" s="72"/>
    </row>
    <row r="27" spans="1:64" ht="15">
      <c r="A27" s="2"/>
      <c r="B27" s="2"/>
      <c r="C27" s="2"/>
      <c r="D27" s="67"/>
      <c r="E27" s="68"/>
      <c r="F27" s="68"/>
      <c r="G27" s="68"/>
      <c r="H27" s="69"/>
      <c r="I27" s="38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40"/>
      <c r="AZ27" s="78"/>
      <c r="BA27" s="79"/>
      <c r="BB27" s="79"/>
      <c r="BC27" s="79"/>
      <c r="BD27" s="79"/>
      <c r="BE27" s="80"/>
      <c r="BF27" s="70">
        <f t="shared" si="0"/>
        <v>0</v>
      </c>
      <c r="BG27" s="71"/>
      <c r="BH27" s="71"/>
      <c r="BI27" s="71"/>
      <c r="BJ27" s="71"/>
      <c r="BK27" s="71"/>
      <c r="BL27" s="72"/>
    </row>
    <row r="28" spans="1:64" ht="15">
      <c r="A28" s="2"/>
      <c r="B28" s="2"/>
      <c r="C28" s="2"/>
      <c r="D28" s="67"/>
      <c r="E28" s="68"/>
      <c r="F28" s="68"/>
      <c r="G28" s="68"/>
      <c r="H28" s="69"/>
      <c r="I28" s="38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40"/>
      <c r="AZ28" s="78"/>
      <c r="BA28" s="79"/>
      <c r="BB28" s="79"/>
      <c r="BC28" s="79"/>
      <c r="BD28" s="79"/>
      <c r="BE28" s="80"/>
      <c r="BF28" s="70">
        <f t="shared" si="0"/>
        <v>0</v>
      </c>
      <c r="BG28" s="71"/>
      <c r="BH28" s="71"/>
      <c r="BI28" s="71"/>
      <c r="BJ28" s="71"/>
      <c r="BK28" s="71"/>
      <c r="BL28" s="72"/>
    </row>
    <row r="29" spans="1:64" ht="15">
      <c r="A29" s="2"/>
      <c r="B29" s="2"/>
      <c r="C29" s="2"/>
      <c r="D29" s="67"/>
      <c r="E29" s="68"/>
      <c r="F29" s="68"/>
      <c r="G29" s="68"/>
      <c r="H29" s="69"/>
      <c r="I29" s="38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40"/>
      <c r="AZ29" s="78"/>
      <c r="BA29" s="79"/>
      <c r="BB29" s="79"/>
      <c r="BC29" s="79"/>
      <c r="BD29" s="79"/>
      <c r="BE29" s="80"/>
      <c r="BF29" s="70">
        <f t="shared" si="0"/>
        <v>0</v>
      </c>
      <c r="BG29" s="71"/>
      <c r="BH29" s="71"/>
      <c r="BI29" s="71"/>
      <c r="BJ29" s="71"/>
      <c r="BK29" s="71"/>
      <c r="BL29" s="72"/>
    </row>
    <row r="30" spans="1:64" ht="15">
      <c r="A30" s="2"/>
      <c r="B30" s="2"/>
      <c r="C30" s="2"/>
      <c r="D30" s="67"/>
      <c r="E30" s="68"/>
      <c r="F30" s="68"/>
      <c r="G30" s="68"/>
      <c r="H30" s="69"/>
      <c r="I30" s="38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40"/>
      <c r="AZ30" s="78"/>
      <c r="BA30" s="79"/>
      <c r="BB30" s="79"/>
      <c r="BC30" s="79"/>
      <c r="BD30" s="79"/>
      <c r="BE30" s="80"/>
      <c r="BF30" s="70">
        <f t="shared" si="0"/>
        <v>0</v>
      </c>
      <c r="BG30" s="71"/>
      <c r="BH30" s="71"/>
      <c r="BI30" s="71"/>
      <c r="BJ30" s="71"/>
      <c r="BK30" s="71"/>
      <c r="BL30" s="72"/>
    </row>
    <row r="31" spans="1:64" ht="15">
      <c r="A31" s="2"/>
      <c r="B31" s="2"/>
      <c r="C31" s="2"/>
      <c r="D31" s="67"/>
      <c r="E31" s="68"/>
      <c r="F31" s="68"/>
      <c r="G31" s="68"/>
      <c r="H31" s="69"/>
      <c r="I31" s="38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40"/>
      <c r="AZ31" s="78"/>
      <c r="BA31" s="79"/>
      <c r="BB31" s="79"/>
      <c r="BC31" s="79"/>
      <c r="BD31" s="79"/>
      <c r="BE31" s="80"/>
      <c r="BF31" s="70">
        <f t="shared" si="0"/>
        <v>0</v>
      </c>
      <c r="BG31" s="71"/>
      <c r="BH31" s="71"/>
      <c r="BI31" s="71"/>
      <c r="BJ31" s="71"/>
      <c r="BK31" s="71"/>
      <c r="BL31" s="72"/>
    </row>
    <row r="32" spans="1:64" ht="15">
      <c r="A32" s="2"/>
      <c r="B32" s="2"/>
      <c r="C32" s="2"/>
      <c r="D32" s="67"/>
      <c r="E32" s="68"/>
      <c r="F32" s="68"/>
      <c r="G32" s="68"/>
      <c r="H32" s="69"/>
      <c r="I32" s="38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40"/>
      <c r="AZ32" s="78"/>
      <c r="BA32" s="79"/>
      <c r="BB32" s="79"/>
      <c r="BC32" s="79"/>
      <c r="BD32" s="79"/>
      <c r="BE32" s="80"/>
      <c r="BF32" s="70">
        <f t="shared" si="0"/>
        <v>0</v>
      </c>
      <c r="BG32" s="71"/>
      <c r="BH32" s="71"/>
      <c r="BI32" s="71"/>
      <c r="BJ32" s="71"/>
      <c r="BK32" s="71"/>
      <c r="BL32" s="72"/>
    </row>
    <row r="33" spans="1:64" ht="15">
      <c r="A33" s="2"/>
      <c r="B33" s="2"/>
      <c r="C33" s="2"/>
      <c r="D33" s="67"/>
      <c r="E33" s="68"/>
      <c r="F33" s="68"/>
      <c r="G33" s="68"/>
      <c r="H33" s="69"/>
      <c r="I33" s="38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40"/>
      <c r="AZ33" s="78"/>
      <c r="BA33" s="79"/>
      <c r="BB33" s="79"/>
      <c r="BC33" s="79"/>
      <c r="BD33" s="79"/>
      <c r="BE33" s="80"/>
      <c r="BF33" s="70">
        <f t="shared" si="0"/>
        <v>0</v>
      </c>
      <c r="BG33" s="71"/>
      <c r="BH33" s="71"/>
      <c r="BI33" s="71"/>
      <c r="BJ33" s="71"/>
      <c r="BK33" s="71"/>
      <c r="BL33" s="72"/>
    </row>
    <row r="34" spans="1:64" ht="15">
      <c r="A34" s="2"/>
      <c r="B34" s="2"/>
      <c r="C34" s="2"/>
      <c r="D34" s="67"/>
      <c r="E34" s="68"/>
      <c r="F34" s="68"/>
      <c r="G34" s="68"/>
      <c r="H34" s="69"/>
      <c r="I34" s="38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40"/>
      <c r="AZ34" s="78"/>
      <c r="BA34" s="79"/>
      <c r="BB34" s="79"/>
      <c r="BC34" s="79"/>
      <c r="BD34" s="79"/>
      <c r="BE34" s="80"/>
      <c r="BF34" s="70">
        <f t="shared" si="0"/>
        <v>0</v>
      </c>
      <c r="BG34" s="71"/>
      <c r="BH34" s="71"/>
      <c r="BI34" s="71"/>
      <c r="BJ34" s="71"/>
      <c r="BK34" s="71"/>
      <c r="BL34" s="72"/>
    </row>
    <row r="35" spans="1:64" ht="15">
      <c r="A35" s="2"/>
      <c r="B35" s="2"/>
      <c r="C35" s="2"/>
      <c r="D35" s="67"/>
      <c r="E35" s="68"/>
      <c r="F35" s="68"/>
      <c r="G35" s="68"/>
      <c r="H35" s="69"/>
      <c r="I35" s="38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40"/>
      <c r="AZ35" s="78"/>
      <c r="BA35" s="79"/>
      <c r="BB35" s="79"/>
      <c r="BC35" s="79"/>
      <c r="BD35" s="79"/>
      <c r="BE35" s="80"/>
      <c r="BF35" s="70">
        <f t="shared" si="0"/>
        <v>0</v>
      </c>
      <c r="BG35" s="71"/>
      <c r="BH35" s="71"/>
      <c r="BI35" s="71"/>
      <c r="BJ35" s="71"/>
      <c r="BK35" s="71"/>
      <c r="BL35" s="72"/>
    </row>
    <row r="36" spans="1:64" ht="15">
      <c r="A36" s="2"/>
      <c r="B36" s="2"/>
      <c r="C36" s="2"/>
      <c r="D36" s="67"/>
      <c r="E36" s="68"/>
      <c r="F36" s="68"/>
      <c r="G36" s="68"/>
      <c r="H36" s="69"/>
      <c r="I36" s="38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40"/>
      <c r="AZ36" s="78"/>
      <c r="BA36" s="79"/>
      <c r="BB36" s="79"/>
      <c r="BC36" s="79"/>
      <c r="BD36" s="79"/>
      <c r="BE36" s="80"/>
      <c r="BF36" s="70">
        <f t="shared" si="0"/>
        <v>0</v>
      </c>
      <c r="BG36" s="71"/>
      <c r="BH36" s="71"/>
      <c r="BI36" s="71"/>
      <c r="BJ36" s="71"/>
      <c r="BK36" s="71"/>
      <c r="BL36" s="72"/>
    </row>
    <row r="37" spans="1:64" ht="15">
      <c r="A37" s="2"/>
      <c r="B37" s="2"/>
      <c r="C37" s="2"/>
      <c r="D37" s="67"/>
      <c r="E37" s="68"/>
      <c r="F37" s="68"/>
      <c r="G37" s="68"/>
      <c r="H37" s="69"/>
      <c r="I37" s="38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40"/>
      <c r="AZ37" s="78"/>
      <c r="BA37" s="79"/>
      <c r="BB37" s="79"/>
      <c r="BC37" s="79"/>
      <c r="BD37" s="79"/>
      <c r="BE37" s="80"/>
      <c r="BF37" s="70">
        <f t="shared" si="0"/>
        <v>0</v>
      </c>
      <c r="BG37" s="71"/>
      <c r="BH37" s="71"/>
      <c r="BI37" s="71"/>
      <c r="BJ37" s="71"/>
      <c r="BK37" s="71"/>
      <c r="BL37" s="72"/>
    </row>
    <row r="38" spans="1:64" ht="15">
      <c r="A38" s="2"/>
      <c r="B38" s="2"/>
      <c r="C38" s="2"/>
      <c r="D38" s="67"/>
      <c r="E38" s="68"/>
      <c r="F38" s="68"/>
      <c r="G38" s="68"/>
      <c r="H38" s="69"/>
      <c r="I38" s="38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40"/>
      <c r="AZ38" s="78"/>
      <c r="BA38" s="79"/>
      <c r="BB38" s="79"/>
      <c r="BC38" s="79"/>
      <c r="BD38" s="79"/>
      <c r="BE38" s="80"/>
      <c r="BF38" s="70">
        <f t="shared" si="0"/>
        <v>0</v>
      </c>
      <c r="BG38" s="71"/>
      <c r="BH38" s="71"/>
      <c r="BI38" s="71"/>
      <c r="BJ38" s="71"/>
      <c r="BK38" s="71"/>
      <c r="BL38" s="72"/>
    </row>
    <row r="39" spans="1:64" ht="15">
      <c r="A39" s="2"/>
      <c r="B39" s="2"/>
      <c r="C39" s="2"/>
      <c r="D39" s="67"/>
      <c r="E39" s="68"/>
      <c r="F39" s="68"/>
      <c r="G39" s="68"/>
      <c r="H39" s="69"/>
      <c r="I39" s="38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40"/>
      <c r="AZ39" s="78"/>
      <c r="BA39" s="79"/>
      <c r="BB39" s="79"/>
      <c r="BC39" s="79"/>
      <c r="BD39" s="79"/>
      <c r="BE39" s="80"/>
      <c r="BF39" s="70">
        <f t="shared" si="0"/>
        <v>0</v>
      </c>
      <c r="BG39" s="71"/>
      <c r="BH39" s="71"/>
      <c r="BI39" s="71"/>
      <c r="BJ39" s="71"/>
      <c r="BK39" s="71"/>
      <c r="BL39" s="72"/>
    </row>
    <row r="40" spans="1:64" ht="15">
      <c r="A40" s="2"/>
      <c r="B40" s="2"/>
      <c r="C40" s="2"/>
      <c r="D40" s="67"/>
      <c r="E40" s="68"/>
      <c r="F40" s="68"/>
      <c r="G40" s="68"/>
      <c r="H40" s="69"/>
      <c r="I40" s="38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40"/>
      <c r="AZ40" s="78"/>
      <c r="BA40" s="79"/>
      <c r="BB40" s="79"/>
      <c r="BC40" s="79"/>
      <c r="BD40" s="79"/>
      <c r="BE40" s="80"/>
      <c r="BF40" s="70">
        <f t="shared" si="0"/>
        <v>0</v>
      </c>
      <c r="BG40" s="71"/>
      <c r="BH40" s="71"/>
      <c r="BI40" s="71"/>
      <c r="BJ40" s="71"/>
      <c r="BK40" s="71"/>
      <c r="BL40" s="72"/>
    </row>
    <row r="41" spans="1:64" ht="15">
      <c r="A41" s="2"/>
      <c r="B41" s="2"/>
      <c r="C41" s="2"/>
      <c r="D41" s="74"/>
      <c r="E41" s="61"/>
      <c r="F41" s="61"/>
      <c r="G41" s="61"/>
      <c r="H41" s="62"/>
      <c r="I41" s="88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90"/>
      <c r="AZ41" s="84"/>
      <c r="BA41" s="85"/>
      <c r="BB41" s="85"/>
      <c r="BC41" s="85"/>
      <c r="BD41" s="85"/>
      <c r="BE41" s="86"/>
      <c r="BF41" s="70">
        <f t="shared" si="0"/>
        <v>0</v>
      </c>
      <c r="BG41" s="71"/>
      <c r="BH41" s="71"/>
      <c r="BI41" s="71"/>
      <c r="BJ41" s="71"/>
      <c r="BK41" s="71"/>
      <c r="BL41" s="72"/>
    </row>
    <row r="42" spans="1:64" ht="12.75">
      <c r="A42" s="2"/>
      <c r="B42" s="2"/>
      <c r="C42" s="2"/>
      <c r="D42" s="5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91" t="s">
        <v>13</v>
      </c>
      <c r="BB42" s="91"/>
      <c r="BC42" s="91"/>
      <c r="BD42" s="91"/>
      <c r="BE42" s="92"/>
      <c r="BF42" s="70">
        <f>SUM(BF19:BL41)</f>
        <v>0</v>
      </c>
      <c r="BG42" s="71"/>
      <c r="BH42" s="71"/>
      <c r="BI42" s="71"/>
      <c r="BJ42" s="71"/>
      <c r="BK42" s="71"/>
      <c r="BL42" s="72"/>
    </row>
    <row r="43" spans="1:64" ht="13.5" thickBot="1">
      <c r="A43" s="2"/>
      <c r="B43" s="2"/>
      <c r="C43" s="2"/>
      <c r="D43" s="6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93"/>
      <c r="BB43" s="93"/>
      <c r="BC43" s="93"/>
      <c r="BD43" s="93"/>
      <c r="BE43" s="94"/>
      <c r="BF43" s="95"/>
      <c r="BG43" s="96"/>
      <c r="BH43" s="96"/>
      <c r="BI43" s="96"/>
      <c r="BJ43" s="96"/>
      <c r="BK43" s="96"/>
      <c r="BL43" s="97"/>
    </row>
    <row r="44" spans="1:64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</row>
    <row r="45" spans="1:64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</row>
    <row r="46" spans="1:64" ht="16.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99" t="s">
        <v>5</v>
      </c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99"/>
      <c r="AE46" s="99"/>
      <c r="AF46" s="99"/>
      <c r="AG46" s="99"/>
      <c r="AH46" s="99"/>
      <c r="AI46" s="99"/>
      <c r="AJ46" s="99"/>
      <c r="AK46" s="99"/>
      <c r="AL46" s="99"/>
      <c r="AM46" s="99"/>
      <c r="AN46" s="99"/>
      <c r="AO46" s="99"/>
      <c r="AP46" s="99"/>
      <c r="AQ46" s="99"/>
      <c r="AR46" s="99"/>
      <c r="AS46" s="99"/>
      <c r="AT46" s="99"/>
      <c r="AU46" s="99"/>
      <c r="AV46" s="99"/>
      <c r="AW46" s="99"/>
      <c r="AX46" s="99"/>
      <c r="AY46" s="99"/>
      <c r="AZ46" s="99"/>
      <c r="BA46" s="99"/>
      <c r="BB46" s="99"/>
      <c r="BC46" s="99"/>
      <c r="BD46" s="99"/>
      <c r="BE46" s="99"/>
      <c r="BF46" s="99"/>
      <c r="BG46" s="99"/>
      <c r="BH46" s="99"/>
      <c r="BI46" s="99"/>
      <c r="BJ46" s="99"/>
      <c r="BK46" s="99"/>
      <c r="BL46" s="99"/>
    </row>
    <row r="47" spans="1:64" ht="15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7"/>
      <c r="R47" s="28"/>
      <c r="S47" s="28" t="s">
        <v>33</v>
      </c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30"/>
    </row>
    <row r="48" spans="1:64" ht="15">
      <c r="A48" s="2"/>
      <c r="B48" s="2"/>
      <c r="C48" s="2"/>
      <c r="D48" s="15"/>
      <c r="E48" s="15"/>
      <c r="F48" s="15"/>
      <c r="G48" s="15"/>
      <c r="H48" s="15"/>
      <c r="I48" s="4"/>
      <c r="J48" s="12"/>
      <c r="K48" s="12"/>
      <c r="L48" s="12"/>
      <c r="M48" s="12"/>
      <c r="N48" s="12"/>
      <c r="O48" s="12"/>
      <c r="P48" s="12"/>
      <c r="Q48" s="21"/>
      <c r="R48" s="26" t="s">
        <v>25</v>
      </c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6"/>
      <c r="BA48" s="16"/>
      <c r="BB48" s="16"/>
      <c r="BC48" s="16"/>
      <c r="BD48" s="16"/>
      <c r="BE48" s="16"/>
      <c r="BF48" s="17"/>
      <c r="BG48" s="17"/>
      <c r="BH48" s="17"/>
      <c r="BI48" s="17"/>
      <c r="BJ48" s="17"/>
      <c r="BK48" s="17"/>
      <c r="BL48" s="18"/>
    </row>
    <row r="49" spans="1:64" ht="15">
      <c r="A49" s="2"/>
      <c r="B49" s="2"/>
      <c r="C49" s="2"/>
      <c r="D49" s="15"/>
      <c r="E49" s="15"/>
      <c r="F49" s="15"/>
      <c r="G49" s="15"/>
      <c r="H49" s="15"/>
      <c r="I49" s="4"/>
      <c r="J49" s="12"/>
      <c r="K49" s="12"/>
      <c r="L49" s="12"/>
      <c r="M49" s="12"/>
      <c r="N49" s="12"/>
      <c r="O49" s="12"/>
      <c r="P49" s="12"/>
      <c r="Q49" s="21"/>
      <c r="R49" s="24" t="s">
        <v>26</v>
      </c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6"/>
      <c r="BA49" s="16"/>
      <c r="BB49" s="16"/>
      <c r="BC49" s="16"/>
      <c r="BD49" s="16"/>
      <c r="BE49" s="16"/>
      <c r="BF49" s="17"/>
      <c r="BG49" s="17"/>
      <c r="BH49" s="17"/>
      <c r="BI49" s="17"/>
      <c r="BJ49" s="17"/>
      <c r="BK49" s="17"/>
      <c r="BL49" s="18"/>
    </row>
    <row r="50" spans="1:64" ht="15">
      <c r="A50" s="2"/>
      <c r="B50" s="2"/>
      <c r="C50" s="2"/>
      <c r="D50" s="15"/>
      <c r="E50" s="15"/>
      <c r="F50" s="15"/>
      <c r="G50" s="15"/>
      <c r="H50" s="15"/>
      <c r="I50" s="4"/>
      <c r="J50" s="12"/>
      <c r="K50" s="12"/>
      <c r="L50" s="12"/>
      <c r="M50" s="12"/>
      <c r="N50" s="12"/>
      <c r="O50" s="12"/>
      <c r="P50" s="12"/>
      <c r="Q50" s="21"/>
      <c r="R50" s="24" t="s">
        <v>27</v>
      </c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6"/>
      <c r="BA50" s="16"/>
      <c r="BB50" s="16"/>
      <c r="BC50" s="16"/>
      <c r="BD50" s="16"/>
      <c r="BE50" s="16"/>
      <c r="BF50" s="17"/>
      <c r="BG50" s="17"/>
      <c r="BH50" s="17"/>
      <c r="BI50" s="17"/>
      <c r="BJ50" s="17"/>
      <c r="BK50" s="17"/>
      <c r="BL50" s="18"/>
    </row>
    <row r="51" spans="1:64" ht="15">
      <c r="A51" s="2"/>
      <c r="B51" s="2"/>
      <c r="C51" s="2"/>
      <c r="D51" s="15"/>
      <c r="E51" s="15"/>
      <c r="F51" s="15"/>
      <c r="G51" s="15"/>
      <c r="H51" s="15"/>
      <c r="I51" s="4"/>
      <c r="J51" s="12"/>
      <c r="K51" s="12"/>
      <c r="L51" s="12"/>
      <c r="M51" s="12"/>
      <c r="N51" s="12"/>
      <c r="O51" s="12"/>
      <c r="P51" s="12"/>
      <c r="Q51" s="21"/>
      <c r="R51" s="24" t="s">
        <v>28</v>
      </c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6"/>
      <c r="BA51" s="16"/>
      <c r="BB51" s="16"/>
      <c r="BC51" s="16"/>
      <c r="BD51" s="16"/>
      <c r="BE51" s="16"/>
      <c r="BF51" s="17"/>
      <c r="BG51" s="17"/>
      <c r="BH51" s="17"/>
      <c r="BI51" s="17"/>
      <c r="BJ51" s="17"/>
      <c r="BK51" s="17"/>
      <c r="BL51" s="18"/>
    </row>
    <row r="52" spans="1:64" ht="15">
      <c r="A52" s="2"/>
      <c r="B52" s="2"/>
      <c r="C52" s="2"/>
      <c r="D52" s="15"/>
      <c r="E52" s="15"/>
      <c r="F52" s="15"/>
      <c r="G52" s="15"/>
      <c r="H52" s="15"/>
      <c r="I52" s="4"/>
      <c r="J52" s="12"/>
      <c r="K52" s="12"/>
      <c r="L52" s="12"/>
      <c r="M52" s="12"/>
      <c r="N52" s="12"/>
      <c r="O52" s="12"/>
      <c r="P52" s="12"/>
      <c r="Q52" s="21"/>
      <c r="R52" s="24" t="s">
        <v>29</v>
      </c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6"/>
      <c r="BA52" s="16"/>
      <c r="BB52" s="16"/>
      <c r="BC52" s="16"/>
      <c r="BD52" s="16"/>
      <c r="BE52" s="16"/>
      <c r="BF52" s="17"/>
      <c r="BG52" s="17"/>
      <c r="BH52" s="17"/>
      <c r="BI52" s="17"/>
      <c r="BJ52" s="17"/>
      <c r="BK52" s="17"/>
      <c r="BL52" s="18"/>
    </row>
    <row r="53" spans="1:64" ht="15">
      <c r="A53" s="2"/>
      <c r="B53" s="2"/>
      <c r="C53" s="2"/>
      <c r="D53" s="15"/>
      <c r="E53" s="15"/>
      <c r="F53" s="15"/>
      <c r="G53" s="15"/>
      <c r="H53" s="15"/>
      <c r="I53" s="4"/>
      <c r="J53" s="12"/>
      <c r="K53" s="12"/>
      <c r="L53" s="12"/>
      <c r="M53" s="12"/>
      <c r="N53" s="12"/>
      <c r="O53" s="12"/>
      <c r="P53" s="12"/>
      <c r="Q53" s="21"/>
      <c r="R53" s="24" t="s">
        <v>30</v>
      </c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6"/>
      <c r="BA53" s="16"/>
      <c r="BB53" s="16"/>
      <c r="BC53" s="16"/>
      <c r="BD53" s="16"/>
      <c r="BE53" s="16"/>
      <c r="BF53" s="17"/>
      <c r="BG53" s="17"/>
      <c r="BH53" s="17"/>
      <c r="BI53" s="17"/>
      <c r="BJ53" s="17"/>
      <c r="BK53" s="17"/>
      <c r="BL53" s="18"/>
    </row>
    <row r="54" spans="1:64" ht="15">
      <c r="A54" s="2"/>
      <c r="B54" s="2"/>
      <c r="C54" s="2"/>
      <c r="D54" s="15"/>
      <c r="E54" s="15"/>
      <c r="F54" s="15"/>
      <c r="G54" s="15"/>
      <c r="H54" s="15"/>
      <c r="I54" s="4"/>
      <c r="J54" s="13"/>
      <c r="K54" s="13"/>
      <c r="L54" s="13"/>
      <c r="M54" s="13"/>
      <c r="N54" s="13"/>
      <c r="O54" s="13"/>
      <c r="P54" s="13"/>
      <c r="Q54" s="22"/>
      <c r="R54" s="25" t="s">
        <v>31</v>
      </c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6"/>
      <c r="BA54" s="16"/>
      <c r="BB54" s="16"/>
      <c r="BC54" s="16"/>
      <c r="BD54" s="16"/>
      <c r="BE54" s="16"/>
      <c r="BF54" s="17"/>
      <c r="BG54" s="17"/>
      <c r="BH54" s="17"/>
      <c r="BI54" s="17"/>
      <c r="BJ54" s="17"/>
      <c r="BK54" s="17"/>
      <c r="BL54" s="18"/>
    </row>
    <row r="55" spans="1:64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5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23"/>
    </row>
    <row r="56" spans="1:64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5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4" t="s">
        <v>20</v>
      </c>
      <c r="AJ56" s="4"/>
      <c r="AK56" s="4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4"/>
      <c r="BG56" s="4"/>
      <c r="BH56" s="4"/>
      <c r="BI56" s="4"/>
      <c r="BJ56" s="4"/>
      <c r="BK56" s="4"/>
      <c r="BL56" s="23"/>
    </row>
    <row r="57" spans="1:64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5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20" t="s">
        <v>19</v>
      </c>
      <c r="AJ57" s="4"/>
      <c r="AK57" s="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56"/>
      <c r="BG57" s="56"/>
      <c r="BH57" s="56"/>
      <c r="BI57" s="56"/>
      <c r="BJ57" s="56"/>
      <c r="BK57" s="56"/>
      <c r="BL57" s="98"/>
    </row>
    <row r="58" spans="1:64" ht="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5"/>
      <c r="R58" s="87" t="s">
        <v>18</v>
      </c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20"/>
      <c r="AJ58" s="4"/>
      <c r="AK58" s="4"/>
      <c r="AL58" s="87" t="s">
        <v>4</v>
      </c>
      <c r="AM58" s="87"/>
      <c r="AN58" s="87"/>
      <c r="AO58" s="87"/>
      <c r="AP58" s="87"/>
      <c r="AQ58" s="87"/>
      <c r="AR58" s="87"/>
      <c r="AS58" s="87"/>
      <c r="AT58" s="87"/>
      <c r="AU58" s="87"/>
      <c r="AV58" s="87"/>
      <c r="AW58" s="87"/>
      <c r="AX58" s="87"/>
      <c r="AY58" s="87"/>
      <c r="AZ58" s="87"/>
      <c r="BA58" s="87"/>
      <c r="BB58" s="87"/>
      <c r="BC58" s="87"/>
      <c r="BD58" s="87"/>
      <c r="BE58" s="87"/>
      <c r="BF58" s="87" t="s">
        <v>2</v>
      </c>
      <c r="BG58" s="87"/>
      <c r="BH58" s="87"/>
      <c r="BI58" s="87"/>
      <c r="BJ58" s="87"/>
      <c r="BK58" s="87"/>
      <c r="BL58" s="101"/>
    </row>
    <row r="59" spans="1:64" ht="15.75" thickBo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6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"/>
      <c r="AJ59" s="7"/>
      <c r="AK59" s="7"/>
      <c r="AL59" s="73"/>
      <c r="AM59" s="73"/>
      <c r="AN59" s="73"/>
      <c r="AO59" s="73"/>
      <c r="AP59" s="73"/>
      <c r="AQ59" s="73"/>
      <c r="AR59" s="73"/>
      <c r="AS59" s="73"/>
      <c r="AT59" s="73"/>
      <c r="AU59" s="73"/>
      <c r="AV59" s="73"/>
      <c r="AW59" s="73"/>
      <c r="AX59" s="73"/>
      <c r="AY59" s="73"/>
      <c r="AZ59" s="73"/>
      <c r="BA59" s="73"/>
      <c r="BB59" s="73"/>
      <c r="BC59" s="73"/>
      <c r="BD59" s="73"/>
      <c r="BE59" s="73"/>
      <c r="BF59" s="73"/>
      <c r="BG59" s="73"/>
      <c r="BH59" s="73"/>
      <c r="BI59" s="73"/>
      <c r="BJ59" s="73"/>
      <c r="BK59" s="73"/>
      <c r="BL59" s="100"/>
    </row>
    <row r="60" spans="1:64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</row>
    <row r="61" spans="1:64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2" t="s">
        <v>20</v>
      </c>
      <c r="AJ61" s="2"/>
      <c r="AK61" s="2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2"/>
      <c r="BG61" s="2"/>
      <c r="BH61" s="2"/>
      <c r="BI61" s="2"/>
      <c r="BJ61" s="2"/>
      <c r="BK61" s="2"/>
      <c r="BL61" s="2"/>
    </row>
    <row r="62" spans="1:64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11" t="s">
        <v>21</v>
      </c>
      <c r="AJ62" s="2"/>
      <c r="AK62" s="2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56"/>
      <c r="BG62" s="56"/>
      <c r="BH62" s="56"/>
      <c r="BI62" s="56"/>
      <c r="BJ62" s="56"/>
      <c r="BK62" s="56"/>
      <c r="BL62" s="56"/>
    </row>
    <row r="63" spans="1:64" ht="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32" t="s">
        <v>18</v>
      </c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2"/>
      <c r="AJ63" s="2"/>
      <c r="AK63" s="2"/>
      <c r="AL63" s="32" t="s">
        <v>3</v>
      </c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 t="s">
        <v>2</v>
      </c>
      <c r="BG63" s="32"/>
      <c r="BH63" s="32"/>
      <c r="BI63" s="32"/>
      <c r="BJ63" s="32"/>
      <c r="BK63" s="32"/>
      <c r="BL63" s="32"/>
    </row>
    <row r="64" spans="1:64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</row>
    <row r="65" spans="1:64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2" t="s">
        <v>20</v>
      </c>
      <c r="AJ65" s="2"/>
      <c r="AK65" s="2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2"/>
      <c r="BG65" s="2"/>
      <c r="BH65" s="2"/>
      <c r="BI65" s="2"/>
      <c r="BJ65" s="2"/>
      <c r="BK65" s="2"/>
      <c r="BL65" s="2"/>
    </row>
    <row r="66" spans="1:64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11" t="s">
        <v>21</v>
      </c>
      <c r="AJ66" s="2"/>
      <c r="AK66" s="2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56"/>
      <c r="BG66" s="56"/>
      <c r="BH66" s="56"/>
      <c r="BI66" s="56"/>
      <c r="BJ66" s="56"/>
      <c r="BK66" s="56"/>
      <c r="BL66" s="56"/>
    </row>
    <row r="67" spans="1:64" ht="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32" t="s">
        <v>18</v>
      </c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2"/>
      <c r="AJ67" s="2"/>
      <c r="AK67" s="2"/>
      <c r="AL67" s="32" t="s">
        <v>22</v>
      </c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 t="s">
        <v>2</v>
      </c>
      <c r="BG67" s="32"/>
      <c r="BH67" s="32"/>
      <c r="BI67" s="32"/>
      <c r="BJ67" s="32"/>
      <c r="BK67" s="32"/>
      <c r="BL67" s="32"/>
    </row>
    <row r="68" spans="1:64" ht="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8"/>
      <c r="AM68" s="8"/>
      <c r="AN68" s="8"/>
      <c r="AO68" s="8"/>
      <c r="AP68" s="8"/>
      <c r="AQ68" s="8"/>
      <c r="AR68" s="8"/>
      <c r="AS68" s="8"/>
      <c r="AT68" s="8"/>
      <c r="AU68" s="8" t="s">
        <v>23</v>
      </c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</row>
    <row r="69" spans="1:64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2" t="s">
        <v>20</v>
      </c>
      <c r="AJ69" s="2"/>
      <c r="AK69" s="2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2"/>
      <c r="BG69" s="2"/>
      <c r="BH69" s="2"/>
      <c r="BI69" s="2"/>
      <c r="BJ69" s="2"/>
      <c r="BK69" s="2"/>
      <c r="BL69" s="2"/>
    </row>
    <row r="70" spans="1:64" ht="12.75">
      <c r="A70" s="9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11" t="s">
        <v>21</v>
      </c>
      <c r="AJ70" s="2"/>
      <c r="AK70" s="2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56"/>
      <c r="BG70" s="56"/>
      <c r="BH70" s="56"/>
      <c r="BI70" s="56"/>
      <c r="BJ70" s="56"/>
      <c r="BK70" s="56"/>
      <c r="BL70" s="56"/>
    </row>
    <row r="71" spans="1:64" ht="1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32" t="s">
        <v>18</v>
      </c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2"/>
      <c r="AJ71" s="2"/>
      <c r="AK71" s="2"/>
      <c r="AL71" s="32" t="s">
        <v>24</v>
      </c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 t="s">
        <v>2</v>
      </c>
      <c r="BG71" s="32"/>
      <c r="BH71" s="32"/>
      <c r="BI71" s="32"/>
      <c r="BJ71" s="32"/>
      <c r="BK71" s="32"/>
      <c r="BL71" s="32"/>
    </row>
    <row r="72" spans="1:64" ht="12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</row>
    <row r="73" spans="1:64" s="1" customFormat="1" ht="11.2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</row>
    <row r="74" spans="1:64" ht="12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14" t="s">
        <v>32</v>
      </c>
    </row>
  </sheetData>
  <sheetProtection/>
  <mergeCells count="138">
    <mergeCell ref="R69:AH70"/>
    <mergeCell ref="AL69:BE70"/>
    <mergeCell ref="BF70:BL70"/>
    <mergeCell ref="R71:AH71"/>
    <mergeCell ref="AL71:BE71"/>
    <mergeCell ref="BF71:BL71"/>
    <mergeCell ref="AL67:BE67"/>
    <mergeCell ref="AL56:BE57"/>
    <mergeCell ref="AL61:BE62"/>
    <mergeCell ref="AL65:BE66"/>
    <mergeCell ref="AL59:BE59"/>
    <mergeCell ref="BF62:BL62"/>
    <mergeCell ref="BF59:BL59"/>
    <mergeCell ref="AL58:BE58"/>
    <mergeCell ref="BF58:BL58"/>
    <mergeCell ref="BF67:BL67"/>
    <mergeCell ref="BF37:BL37"/>
    <mergeCell ref="BF38:BL38"/>
    <mergeCell ref="BA42:BE43"/>
    <mergeCell ref="BF42:BL43"/>
    <mergeCell ref="BF39:BL39"/>
    <mergeCell ref="BF57:BL57"/>
    <mergeCell ref="Q46:BL46"/>
    <mergeCell ref="BF34:BL34"/>
    <mergeCell ref="BF35:BL35"/>
    <mergeCell ref="R58:AH58"/>
    <mergeCell ref="BF33:BL33"/>
    <mergeCell ref="BF29:BL29"/>
    <mergeCell ref="BF31:BL31"/>
    <mergeCell ref="BF30:BL30"/>
    <mergeCell ref="BF32:BL32"/>
    <mergeCell ref="I41:AY41"/>
    <mergeCell ref="I32:AY32"/>
    <mergeCell ref="BF26:BL26"/>
    <mergeCell ref="BF27:BL27"/>
    <mergeCell ref="BF28:BL28"/>
    <mergeCell ref="AZ39:BE39"/>
    <mergeCell ref="AZ40:BE40"/>
    <mergeCell ref="AZ41:BE41"/>
    <mergeCell ref="AZ28:BE28"/>
    <mergeCell ref="AZ29:BE29"/>
    <mergeCell ref="AZ30:BE30"/>
    <mergeCell ref="BF36:BL36"/>
    <mergeCell ref="BF19:BL19"/>
    <mergeCell ref="BF20:BL20"/>
    <mergeCell ref="BF21:BL21"/>
    <mergeCell ref="BF22:BL22"/>
    <mergeCell ref="BF23:BL23"/>
    <mergeCell ref="BF24:BL24"/>
    <mergeCell ref="BF25:BL25"/>
    <mergeCell ref="AZ36:BE36"/>
    <mergeCell ref="AZ37:BE37"/>
    <mergeCell ref="AZ38:BE38"/>
    <mergeCell ref="AZ34:BE34"/>
    <mergeCell ref="AZ35:BE35"/>
    <mergeCell ref="AZ31:BE31"/>
    <mergeCell ref="AZ32:BE32"/>
    <mergeCell ref="AZ33:BE33"/>
    <mergeCell ref="AZ27:BE27"/>
    <mergeCell ref="AZ19:BE19"/>
    <mergeCell ref="AZ20:BE20"/>
    <mergeCell ref="AZ21:BE21"/>
    <mergeCell ref="AZ22:BE22"/>
    <mergeCell ref="AZ23:BE23"/>
    <mergeCell ref="AZ24:BE24"/>
    <mergeCell ref="I39:AY39"/>
    <mergeCell ref="I40:AY40"/>
    <mergeCell ref="I34:AY34"/>
    <mergeCell ref="I35:AY35"/>
    <mergeCell ref="I36:AY36"/>
    <mergeCell ref="I30:AY30"/>
    <mergeCell ref="I29:AY29"/>
    <mergeCell ref="I25:AY25"/>
    <mergeCell ref="AZ25:BE25"/>
    <mergeCell ref="AZ26:BE26"/>
    <mergeCell ref="I37:AY37"/>
    <mergeCell ref="I38:AY38"/>
    <mergeCell ref="I19:AY19"/>
    <mergeCell ref="I20:AY20"/>
    <mergeCell ref="I21:AY21"/>
    <mergeCell ref="I22:AY22"/>
    <mergeCell ref="I31:AY31"/>
    <mergeCell ref="D38:H38"/>
    <mergeCell ref="D34:H34"/>
    <mergeCell ref="D30:H30"/>
    <mergeCell ref="D31:H31"/>
    <mergeCell ref="D32:H32"/>
    <mergeCell ref="D39:H39"/>
    <mergeCell ref="D40:H40"/>
    <mergeCell ref="D41:H41"/>
    <mergeCell ref="D35:H35"/>
    <mergeCell ref="D36:H36"/>
    <mergeCell ref="D37:H37"/>
    <mergeCell ref="D33:H33"/>
    <mergeCell ref="D26:H26"/>
    <mergeCell ref="D27:H27"/>
    <mergeCell ref="D28:H28"/>
    <mergeCell ref="D29:H29"/>
    <mergeCell ref="D23:H23"/>
    <mergeCell ref="D24:H24"/>
    <mergeCell ref="D25:H25"/>
    <mergeCell ref="D19:H19"/>
    <mergeCell ref="D20:H20"/>
    <mergeCell ref="D21:H21"/>
    <mergeCell ref="D22:H22"/>
    <mergeCell ref="BF63:BL63"/>
    <mergeCell ref="AL63:BE63"/>
    <mergeCell ref="BF40:BL40"/>
    <mergeCell ref="BF41:BL41"/>
    <mergeCell ref="R59:AH59"/>
    <mergeCell ref="R63:AH63"/>
    <mergeCell ref="BF66:BL66"/>
    <mergeCell ref="AV4:BB4"/>
    <mergeCell ref="D13:AI14"/>
    <mergeCell ref="AS8:BL9"/>
    <mergeCell ref="AS12:BL12"/>
    <mergeCell ref="AS13:BL14"/>
    <mergeCell ref="AS7:BL7"/>
    <mergeCell ref="D7:AI7"/>
    <mergeCell ref="D12:AI12"/>
    <mergeCell ref="D8:AI9"/>
    <mergeCell ref="A1:BL1"/>
    <mergeCell ref="A2:BL2"/>
    <mergeCell ref="BF17:BL17"/>
    <mergeCell ref="BF18:BL18"/>
    <mergeCell ref="D17:H18"/>
    <mergeCell ref="AZ17:BE18"/>
    <mergeCell ref="I17:AY18"/>
    <mergeCell ref="R67:AH67"/>
    <mergeCell ref="R56:AH57"/>
    <mergeCell ref="R61:AH62"/>
    <mergeCell ref="R65:AH66"/>
    <mergeCell ref="I23:AY23"/>
    <mergeCell ref="I24:AY24"/>
    <mergeCell ref="I33:AY33"/>
    <mergeCell ref="I26:AY26"/>
    <mergeCell ref="I27:AY27"/>
    <mergeCell ref="I28:AY28"/>
  </mergeCells>
  <printOptions horizontalCentered="1" verticalCentered="1"/>
  <pageMargins left="0.25" right="0.25" top="0.5" bottom="0.5" header="0.5" footer="0.5"/>
  <pageSetup fitToHeight="1" fitToWidth="1" horizontalDpi="300" verticalDpi="300" orientation="portrait" scale="66" r:id="rId1"/>
  <customProperties>
    <customPr name="DVSECTION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customProperties>
    <customPr name="DVSECTIONID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customProperties>
    <customPr name="DVSECTIONID" r:id="rId1"/>
  </customProperties>
</worksheet>
</file>

<file path=xl/worksheets/sheet4.xml><?xml version="1.0" encoding="utf-8"?>
<worksheet xmlns="http://schemas.openxmlformats.org/spreadsheetml/2006/main" xmlns:r="http://schemas.openxmlformats.org/officeDocument/2006/relationships">
  <dimension ref="A1:IV20"/>
  <sheetViews>
    <sheetView zoomScalePageLayoutView="0" workbookViewId="0" topLeftCell="A1">
      <selection activeCell="R20" sqref="R20"/>
    </sheetView>
  </sheetViews>
  <sheetFormatPr defaultColWidth="9.140625" defaultRowHeight="12.75"/>
  <sheetData>
    <row r="1" spans="1:256" ht="12.75">
      <c r="A1" t="e">
        <f>IF(Sheet1!1:1,"AAAAAFzxrwA=",0)</f>
        <v>#VALUE!</v>
      </c>
      <c r="B1" t="e">
        <f>AND(Sheet1!A1,"AAAAAFzxrwE=")</f>
        <v>#VALUE!</v>
      </c>
      <c r="C1" t="e">
        <f>AND(Sheet1!B1,"AAAAAFzxrwI=")</f>
        <v>#VALUE!</v>
      </c>
      <c r="D1" t="e">
        <f>AND(Sheet1!C1,"AAAAAFzxrwM=")</f>
        <v>#VALUE!</v>
      </c>
      <c r="E1" t="e">
        <f>AND(Sheet1!D1,"AAAAAFzxrwQ=")</f>
        <v>#VALUE!</v>
      </c>
      <c r="F1" t="e">
        <f>AND(Sheet1!E1,"AAAAAFzxrwU=")</f>
        <v>#VALUE!</v>
      </c>
      <c r="G1" t="e">
        <f>AND(Sheet1!F1,"AAAAAFzxrwY=")</f>
        <v>#VALUE!</v>
      </c>
      <c r="H1" t="e">
        <f>AND(Sheet1!G1,"AAAAAFzxrwc=")</f>
        <v>#VALUE!</v>
      </c>
      <c r="I1" t="e">
        <f>AND(Sheet1!H1,"AAAAAFzxrwg=")</f>
        <v>#VALUE!</v>
      </c>
      <c r="J1" t="e">
        <f>AND(Sheet1!I1,"AAAAAFzxrwk=")</f>
        <v>#VALUE!</v>
      </c>
      <c r="K1" t="e">
        <f>AND(Sheet1!J1,"AAAAAFzxrwo=")</f>
        <v>#VALUE!</v>
      </c>
      <c r="L1" t="e">
        <f>AND(Sheet1!K1,"AAAAAFzxrws=")</f>
        <v>#VALUE!</v>
      </c>
      <c r="M1" t="e">
        <f>AND(Sheet1!L1,"AAAAAFzxrww=")</f>
        <v>#VALUE!</v>
      </c>
      <c r="N1" t="e">
        <f>AND(Sheet1!M1,"AAAAAFzxrw0=")</f>
        <v>#VALUE!</v>
      </c>
      <c r="O1" t="e">
        <f>AND(Sheet1!N1,"AAAAAFzxrw4=")</f>
        <v>#VALUE!</v>
      </c>
      <c r="P1" t="e">
        <f>AND(Sheet1!O1,"AAAAAFzxrw8=")</f>
        <v>#VALUE!</v>
      </c>
      <c r="Q1" t="e">
        <f>AND(Sheet1!P1,"AAAAAFzxrxA=")</f>
        <v>#VALUE!</v>
      </c>
      <c r="R1" t="e">
        <f>AND(Sheet1!Q1,"AAAAAFzxrxE=")</f>
        <v>#VALUE!</v>
      </c>
      <c r="S1" t="e">
        <f>AND(Sheet1!R1,"AAAAAFzxrxI=")</f>
        <v>#VALUE!</v>
      </c>
      <c r="T1" t="e">
        <f>AND(Sheet1!S1,"AAAAAFzxrxM=")</f>
        <v>#VALUE!</v>
      </c>
      <c r="U1" t="e">
        <f>AND(Sheet1!T1,"AAAAAFzxrxQ=")</f>
        <v>#VALUE!</v>
      </c>
      <c r="V1" t="e">
        <f>AND(Sheet1!U1,"AAAAAFzxrxU=")</f>
        <v>#VALUE!</v>
      </c>
      <c r="W1" t="e">
        <f>AND(Sheet1!V1,"AAAAAFzxrxY=")</f>
        <v>#VALUE!</v>
      </c>
      <c r="X1" t="e">
        <f>AND(Sheet1!W1,"AAAAAFzxrxc=")</f>
        <v>#VALUE!</v>
      </c>
      <c r="Y1" t="e">
        <f>AND(Sheet1!X1,"AAAAAFzxrxg=")</f>
        <v>#VALUE!</v>
      </c>
      <c r="Z1" t="e">
        <f>AND(Sheet1!Y1,"AAAAAFzxrxk=")</f>
        <v>#VALUE!</v>
      </c>
      <c r="AA1" t="e">
        <f>AND(Sheet1!Z1,"AAAAAFzxrxo=")</f>
        <v>#VALUE!</v>
      </c>
      <c r="AB1" t="e">
        <f>AND(Sheet1!AA1,"AAAAAFzxrxs=")</f>
        <v>#VALUE!</v>
      </c>
      <c r="AC1" t="e">
        <f>AND(Sheet1!AB1,"AAAAAFzxrxw=")</f>
        <v>#VALUE!</v>
      </c>
      <c r="AD1" t="e">
        <f>AND(Sheet1!AC1,"AAAAAFzxrx0=")</f>
        <v>#VALUE!</v>
      </c>
      <c r="AE1" t="e">
        <f>AND(Sheet1!AD1,"AAAAAFzxrx4=")</f>
        <v>#VALUE!</v>
      </c>
      <c r="AF1" t="e">
        <f>AND(Sheet1!AE1,"AAAAAFzxrx8=")</f>
        <v>#VALUE!</v>
      </c>
      <c r="AG1" t="e">
        <f>AND(Sheet1!AF1,"AAAAAFzxryA=")</f>
        <v>#VALUE!</v>
      </c>
      <c r="AH1" t="e">
        <f>AND(Sheet1!AG1,"AAAAAFzxryE=")</f>
        <v>#VALUE!</v>
      </c>
      <c r="AI1" t="e">
        <f>AND(Sheet1!AH1,"AAAAAFzxryI=")</f>
        <v>#VALUE!</v>
      </c>
      <c r="AJ1" t="e">
        <f>AND(Sheet1!AI1,"AAAAAFzxryM=")</f>
        <v>#VALUE!</v>
      </c>
      <c r="AK1" t="e">
        <f>AND(Sheet1!AJ1,"AAAAAFzxryQ=")</f>
        <v>#VALUE!</v>
      </c>
      <c r="AL1" t="e">
        <f>AND(Sheet1!AK1,"AAAAAFzxryU=")</f>
        <v>#VALUE!</v>
      </c>
      <c r="AM1" t="e">
        <f>AND(Sheet1!AL1,"AAAAAFzxryY=")</f>
        <v>#VALUE!</v>
      </c>
      <c r="AN1" t="e">
        <f>AND(Sheet1!AM1,"AAAAAFzxryc=")</f>
        <v>#VALUE!</v>
      </c>
      <c r="AO1" t="e">
        <f>AND(Sheet1!AN1,"AAAAAFzxryg=")</f>
        <v>#VALUE!</v>
      </c>
      <c r="AP1" t="e">
        <f>AND(Sheet1!AO1,"AAAAAFzxryk=")</f>
        <v>#VALUE!</v>
      </c>
      <c r="AQ1" t="e">
        <f>AND(Sheet1!AP1,"AAAAAFzxryo=")</f>
        <v>#VALUE!</v>
      </c>
      <c r="AR1" t="e">
        <f>AND(Sheet1!AQ1,"AAAAAFzxrys=")</f>
        <v>#VALUE!</v>
      </c>
      <c r="AS1" t="e">
        <f>AND(Sheet1!AR1,"AAAAAFzxryw=")</f>
        <v>#VALUE!</v>
      </c>
      <c r="AT1" t="e">
        <f>AND(Sheet1!AS1,"AAAAAFzxry0=")</f>
        <v>#VALUE!</v>
      </c>
      <c r="AU1" t="e">
        <f>AND(Sheet1!AT1,"AAAAAFzxry4=")</f>
        <v>#VALUE!</v>
      </c>
      <c r="AV1" t="e">
        <f>AND(Sheet1!AU1,"AAAAAFzxry8=")</f>
        <v>#VALUE!</v>
      </c>
      <c r="AW1" t="e">
        <f>AND(Sheet1!AV1,"AAAAAFzxrzA=")</f>
        <v>#VALUE!</v>
      </c>
      <c r="AX1" t="e">
        <f>AND(Sheet1!AW1,"AAAAAFzxrzE=")</f>
        <v>#VALUE!</v>
      </c>
      <c r="AY1" t="e">
        <f>AND(Sheet1!AX1,"AAAAAFzxrzI=")</f>
        <v>#VALUE!</v>
      </c>
      <c r="AZ1" t="e">
        <f>AND(Sheet1!AY1,"AAAAAFzxrzM=")</f>
        <v>#VALUE!</v>
      </c>
      <c r="BA1" t="e">
        <f>AND(Sheet1!AZ1,"AAAAAFzxrzQ=")</f>
        <v>#VALUE!</v>
      </c>
      <c r="BB1" t="e">
        <f>AND(Sheet1!BA1,"AAAAAFzxrzU=")</f>
        <v>#VALUE!</v>
      </c>
      <c r="BC1" t="e">
        <f>AND(Sheet1!BB1,"AAAAAFzxrzY=")</f>
        <v>#VALUE!</v>
      </c>
      <c r="BD1" t="e">
        <f>AND(Sheet1!BC1,"AAAAAFzxrzc=")</f>
        <v>#VALUE!</v>
      </c>
      <c r="BE1" t="e">
        <f>AND(Sheet1!BD1,"AAAAAFzxrzg=")</f>
        <v>#VALUE!</v>
      </c>
      <c r="BF1" t="e">
        <f>AND(Sheet1!BE1,"AAAAAFzxrzk=")</f>
        <v>#VALUE!</v>
      </c>
      <c r="BG1" t="e">
        <f>AND(Sheet1!BF1,"AAAAAFzxrzo=")</f>
        <v>#VALUE!</v>
      </c>
      <c r="BH1" t="e">
        <f>AND(Sheet1!BG1,"AAAAAFzxrzs=")</f>
        <v>#VALUE!</v>
      </c>
      <c r="BI1" t="e">
        <f>AND(Sheet1!BH1,"AAAAAFzxrzw=")</f>
        <v>#VALUE!</v>
      </c>
      <c r="BJ1" t="e">
        <f>AND(Sheet1!BI1,"AAAAAFzxrz0=")</f>
        <v>#VALUE!</v>
      </c>
      <c r="BK1" t="e">
        <f>AND(Sheet1!BJ1,"AAAAAFzxrz4=")</f>
        <v>#VALUE!</v>
      </c>
      <c r="BL1" t="e">
        <f>AND(Sheet1!BK1,"AAAAAFzxrz8=")</f>
        <v>#VALUE!</v>
      </c>
      <c r="BM1" t="e">
        <f>AND(Sheet1!BL1,"AAAAAFzxr0A=")</f>
        <v>#VALUE!</v>
      </c>
      <c r="BN1">
        <f>IF(Sheet1!2:2,"AAAAAFzxr0E=",0)</f>
        <v>0</v>
      </c>
      <c r="BO1" t="e">
        <f>AND(Sheet1!A2,"AAAAAFzxr0I=")</f>
        <v>#VALUE!</v>
      </c>
      <c r="BP1" t="e">
        <f>AND(Sheet1!B2,"AAAAAFzxr0M=")</f>
        <v>#VALUE!</v>
      </c>
      <c r="BQ1" t="e">
        <f>AND(Sheet1!C2,"AAAAAFzxr0Q=")</f>
        <v>#VALUE!</v>
      </c>
      <c r="BR1" t="e">
        <f>AND(Sheet1!D2,"AAAAAFzxr0U=")</f>
        <v>#VALUE!</v>
      </c>
      <c r="BS1" t="e">
        <f>AND(Sheet1!E2,"AAAAAFzxr0Y=")</f>
        <v>#VALUE!</v>
      </c>
      <c r="BT1" t="e">
        <f>AND(Sheet1!F2,"AAAAAFzxr0c=")</f>
        <v>#VALUE!</v>
      </c>
      <c r="BU1" t="e">
        <f>AND(Sheet1!G2,"AAAAAFzxr0g=")</f>
        <v>#VALUE!</v>
      </c>
      <c r="BV1" t="e">
        <f>AND(Sheet1!H2,"AAAAAFzxr0k=")</f>
        <v>#VALUE!</v>
      </c>
      <c r="BW1" t="e">
        <f>AND(Sheet1!I2,"AAAAAFzxr0o=")</f>
        <v>#VALUE!</v>
      </c>
      <c r="BX1" t="e">
        <f>AND(Sheet1!J2,"AAAAAFzxr0s=")</f>
        <v>#VALUE!</v>
      </c>
      <c r="BY1" t="e">
        <f>AND(Sheet1!K2,"AAAAAFzxr0w=")</f>
        <v>#VALUE!</v>
      </c>
      <c r="BZ1" t="e">
        <f>AND(Sheet1!L2,"AAAAAFzxr00=")</f>
        <v>#VALUE!</v>
      </c>
      <c r="CA1" t="e">
        <f>AND(Sheet1!M2,"AAAAAFzxr04=")</f>
        <v>#VALUE!</v>
      </c>
      <c r="CB1" t="e">
        <f>AND(Sheet1!N2,"AAAAAFzxr08=")</f>
        <v>#VALUE!</v>
      </c>
      <c r="CC1" t="e">
        <f>AND(Sheet1!O2,"AAAAAFzxr1A=")</f>
        <v>#VALUE!</v>
      </c>
      <c r="CD1" t="e">
        <f>AND(Sheet1!P2,"AAAAAFzxr1E=")</f>
        <v>#VALUE!</v>
      </c>
      <c r="CE1" t="e">
        <f>AND(Sheet1!Q2,"AAAAAFzxr1I=")</f>
        <v>#VALUE!</v>
      </c>
      <c r="CF1" t="e">
        <f>AND(Sheet1!R2,"AAAAAFzxr1M=")</f>
        <v>#VALUE!</v>
      </c>
      <c r="CG1" t="e">
        <f>AND(Sheet1!S2,"AAAAAFzxr1Q=")</f>
        <v>#VALUE!</v>
      </c>
      <c r="CH1" t="e">
        <f>AND(Sheet1!T2,"AAAAAFzxr1U=")</f>
        <v>#VALUE!</v>
      </c>
      <c r="CI1" t="e">
        <f>AND(Sheet1!U2,"AAAAAFzxr1Y=")</f>
        <v>#VALUE!</v>
      </c>
      <c r="CJ1" t="e">
        <f>AND(Sheet1!V2,"AAAAAFzxr1c=")</f>
        <v>#VALUE!</v>
      </c>
      <c r="CK1" t="e">
        <f>AND(Sheet1!W2,"AAAAAFzxr1g=")</f>
        <v>#VALUE!</v>
      </c>
      <c r="CL1" t="e">
        <f>AND(Sheet1!X2,"AAAAAFzxr1k=")</f>
        <v>#VALUE!</v>
      </c>
      <c r="CM1" t="e">
        <f>AND(Sheet1!Y2,"AAAAAFzxr1o=")</f>
        <v>#VALUE!</v>
      </c>
      <c r="CN1" t="e">
        <f>AND(Sheet1!Z2,"AAAAAFzxr1s=")</f>
        <v>#VALUE!</v>
      </c>
      <c r="CO1" t="e">
        <f>AND(Sheet1!AA2,"AAAAAFzxr1w=")</f>
        <v>#VALUE!</v>
      </c>
      <c r="CP1" t="e">
        <f>AND(Sheet1!AB2,"AAAAAFzxr10=")</f>
        <v>#VALUE!</v>
      </c>
      <c r="CQ1" t="e">
        <f>AND(Sheet1!AC2,"AAAAAFzxr14=")</f>
        <v>#VALUE!</v>
      </c>
      <c r="CR1" t="e">
        <f>AND(Sheet1!AD2,"AAAAAFzxr18=")</f>
        <v>#VALUE!</v>
      </c>
      <c r="CS1" t="e">
        <f>AND(Sheet1!AE2,"AAAAAFzxr2A=")</f>
        <v>#VALUE!</v>
      </c>
      <c r="CT1" t="e">
        <f>AND(Sheet1!AF2,"AAAAAFzxr2E=")</f>
        <v>#VALUE!</v>
      </c>
      <c r="CU1" t="e">
        <f>AND(Sheet1!AG2,"AAAAAFzxr2I=")</f>
        <v>#VALUE!</v>
      </c>
      <c r="CV1" t="e">
        <f>AND(Sheet1!AH2,"AAAAAFzxr2M=")</f>
        <v>#VALUE!</v>
      </c>
      <c r="CW1" t="e">
        <f>AND(Sheet1!AI2,"AAAAAFzxr2Q=")</f>
        <v>#VALUE!</v>
      </c>
      <c r="CX1" t="e">
        <f>AND(Sheet1!AJ2,"AAAAAFzxr2U=")</f>
        <v>#VALUE!</v>
      </c>
      <c r="CY1" t="e">
        <f>AND(Sheet1!AK2,"AAAAAFzxr2Y=")</f>
        <v>#VALUE!</v>
      </c>
      <c r="CZ1" t="e">
        <f>AND(Sheet1!AL2,"AAAAAFzxr2c=")</f>
        <v>#VALUE!</v>
      </c>
      <c r="DA1" t="e">
        <f>AND(Sheet1!AM2,"AAAAAFzxr2g=")</f>
        <v>#VALUE!</v>
      </c>
      <c r="DB1" t="e">
        <f>AND(Sheet1!AN2,"AAAAAFzxr2k=")</f>
        <v>#VALUE!</v>
      </c>
      <c r="DC1" t="e">
        <f>AND(Sheet1!AO2,"AAAAAFzxr2o=")</f>
        <v>#VALUE!</v>
      </c>
      <c r="DD1" t="e">
        <f>AND(Sheet1!AP2,"AAAAAFzxr2s=")</f>
        <v>#VALUE!</v>
      </c>
      <c r="DE1" t="e">
        <f>AND(Sheet1!AQ2,"AAAAAFzxr2w=")</f>
        <v>#VALUE!</v>
      </c>
      <c r="DF1" t="e">
        <f>AND(Sheet1!AR2,"AAAAAFzxr20=")</f>
        <v>#VALUE!</v>
      </c>
      <c r="DG1" t="e">
        <f>AND(Sheet1!AS2,"AAAAAFzxr24=")</f>
        <v>#VALUE!</v>
      </c>
      <c r="DH1" t="e">
        <f>AND(Sheet1!AT2,"AAAAAFzxr28=")</f>
        <v>#VALUE!</v>
      </c>
      <c r="DI1" t="e">
        <f>AND(Sheet1!AU2,"AAAAAFzxr3A=")</f>
        <v>#VALUE!</v>
      </c>
      <c r="DJ1" t="e">
        <f>AND(Sheet1!AV2,"AAAAAFzxr3E=")</f>
        <v>#VALUE!</v>
      </c>
      <c r="DK1" t="e">
        <f>AND(Sheet1!AW2,"AAAAAFzxr3I=")</f>
        <v>#VALUE!</v>
      </c>
      <c r="DL1" t="e">
        <f>AND(Sheet1!AX2,"AAAAAFzxr3M=")</f>
        <v>#VALUE!</v>
      </c>
      <c r="DM1" t="e">
        <f>AND(Sheet1!AY2,"AAAAAFzxr3Q=")</f>
        <v>#VALUE!</v>
      </c>
      <c r="DN1" t="e">
        <f>AND(Sheet1!AZ2,"AAAAAFzxr3U=")</f>
        <v>#VALUE!</v>
      </c>
      <c r="DO1" t="e">
        <f>AND(Sheet1!BA2,"AAAAAFzxr3Y=")</f>
        <v>#VALUE!</v>
      </c>
      <c r="DP1" t="e">
        <f>AND(Sheet1!BB2,"AAAAAFzxr3c=")</f>
        <v>#VALUE!</v>
      </c>
      <c r="DQ1" t="e">
        <f>AND(Sheet1!BC2,"AAAAAFzxr3g=")</f>
        <v>#VALUE!</v>
      </c>
      <c r="DR1" t="e">
        <f>AND(Sheet1!BD2,"AAAAAFzxr3k=")</f>
        <v>#VALUE!</v>
      </c>
      <c r="DS1" t="e">
        <f>AND(Sheet1!BE2,"AAAAAFzxr3o=")</f>
        <v>#VALUE!</v>
      </c>
      <c r="DT1" t="e">
        <f>AND(Sheet1!BF2,"AAAAAFzxr3s=")</f>
        <v>#VALUE!</v>
      </c>
      <c r="DU1" t="e">
        <f>AND(Sheet1!BG2,"AAAAAFzxr3w=")</f>
        <v>#VALUE!</v>
      </c>
      <c r="DV1" t="e">
        <f>AND(Sheet1!BH2,"AAAAAFzxr30=")</f>
        <v>#VALUE!</v>
      </c>
      <c r="DW1" t="e">
        <f>AND(Sheet1!BI2,"AAAAAFzxr34=")</f>
        <v>#VALUE!</v>
      </c>
      <c r="DX1" t="e">
        <f>AND(Sheet1!BJ2,"AAAAAFzxr38=")</f>
        <v>#VALUE!</v>
      </c>
      <c r="DY1" t="e">
        <f>AND(Sheet1!BK2,"AAAAAFzxr4A=")</f>
        <v>#VALUE!</v>
      </c>
      <c r="DZ1" t="e">
        <f>AND(Sheet1!BL2,"AAAAAFzxr4E=")</f>
        <v>#VALUE!</v>
      </c>
      <c r="EA1">
        <f>IF(Sheet1!3:3,"AAAAAFzxr4I=",0)</f>
        <v>0</v>
      </c>
      <c r="EB1" t="e">
        <f>AND(Sheet1!A3,"AAAAAFzxr4M=")</f>
        <v>#VALUE!</v>
      </c>
      <c r="EC1" t="e">
        <f>AND(Sheet1!B3,"AAAAAFzxr4Q=")</f>
        <v>#VALUE!</v>
      </c>
      <c r="ED1" t="e">
        <f>AND(Sheet1!C3,"AAAAAFzxr4U=")</f>
        <v>#VALUE!</v>
      </c>
      <c r="EE1" t="e">
        <f>AND(Sheet1!D3,"AAAAAFzxr4Y=")</f>
        <v>#VALUE!</v>
      </c>
      <c r="EF1" t="e">
        <f>AND(Sheet1!E3,"AAAAAFzxr4c=")</f>
        <v>#VALUE!</v>
      </c>
      <c r="EG1" t="e">
        <f>AND(Sheet1!F3,"AAAAAFzxr4g=")</f>
        <v>#VALUE!</v>
      </c>
      <c r="EH1" t="e">
        <f>AND(Sheet1!G3,"AAAAAFzxr4k=")</f>
        <v>#VALUE!</v>
      </c>
      <c r="EI1" t="e">
        <f>AND(Sheet1!H3,"AAAAAFzxr4o=")</f>
        <v>#VALUE!</v>
      </c>
      <c r="EJ1" t="e">
        <f>AND(Sheet1!I3,"AAAAAFzxr4s=")</f>
        <v>#VALUE!</v>
      </c>
      <c r="EK1" t="e">
        <f>AND(Sheet1!J3,"AAAAAFzxr4w=")</f>
        <v>#VALUE!</v>
      </c>
      <c r="EL1" t="e">
        <f>AND(Sheet1!K3,"AAAAAFzxr40=")</f>
        <v>#VALUE!</v>
      </c>
      <c r="EM1" t="e">
        <f>AND(Sheet1!L3,"AAAAAFzxr44=")</f>
        <v>#VALUE!</v>
      </c>
      <c r="EN1" t="e">
        <f>AND(Sheet1!M3,"AAAAAFzxr48=")</f>
        <v>#VALUE!</v>
      </c>
      <c r="EO1" t="e">
        <f>AND(Sheet1!N3,"AAAAAFzxr5A=")</f>
        <v>#VALUE!</v>
      </c>
      <c r="EP1" t="e">
        <f>AND(Sheet1!O3,"AAAAAFzxr5E=")</f>
        <v>#VALUE!</v>
      </c>
      <c r="EQ1" t="e">
        <f>AND(Sheet1!P3,"AAAAAFzxr5I=")</f>
        <v>#VALUE!</v>
      </c>
      <c r="ER1" t="e">
        <f>AND(Sheet1!Q3,"AAAAAFzxr5M=")</f>
        <v>#VALUE!</v>
      </c>
      <c r="ES1" t="e">
        <f>AND(Sheet1!R3,"AAAAAFzxr5Q=")</f>
        <v>#VALUE!</v>
      </c>
      <c r="ET1" t="e">
        <f>AND(Sheet1!S3,"AAAAAFzxr5U=")</f>
        <v>#VALUE!</v>
      </c>
      <c r="EU1" t="e">
        <f>AND(Sheet1!T3,"AAAAAFzxr5Y=")</f>
        <v>#VALUE!</v>
      </c>
      <c r="EV1" t="e">
        <f>AND(Sheet1!U3,"AAAAAFzxr5c=")</f>
        <v>#VALUE!</v>
      </c>
      <c r="EW1" t="e">
        <f>AND(Sheet1!V3,"AAAAAFzxr5g=")</f>
        <v>#VALUE!</v>
      </c>
      <c r="EX1" t="e">
        <f>AND(Sheet1!W3,"AAAAAFzxr5k=")</f>
        <v>#VALUE!</v>
      </c>
      <c r="EY1" t="e">
        <f>AND(Sheet1!X3,"AAAAAFzxr5o=")</f>
        <v>#VALUE!</v>
      </c>
      <c r="EZ1" t="e">
        <f>AND(Sheet1!Y3,"AAAAAFzxr5s=")</f>
        <v>#VALUE!</v>
      </c>
      <c r="FA1" t="e">
        <f>AND(Sheet1!Z3,"AAAAAFzxr5w=")</f>
        <v>#VALUE!</v>
      </c>
      <c r="FB1" t="e">
        <f>AND(Sheet1!AA3,"AAAAAFzxr50=")</f>
        <v>#VALUE!</v>
      </c>
      <c r="FC1" t="e">
        <f>AND(Sheet1!AB3,"AAAAAFzxr54=")</f>
        <v>#VALUE!</v>
      </c>
      <c r="FD1" t="e">
        <f>AND(Sheet1!AC3,"AAAAAFzxr58=")</f>
        <v>#VALUE!</v>
      </c>
      <c r="FE1" t="e">
        <f>AND(Sheet1!AD3,"AAAAAFzxr6A=")</f>
        <v>#VALUE!</v>
      </c>
      <c r="FF1" t="e">
        <f>AND(Sheet1!AE3,"AAAAAFzxr6E=")</f>
        <v>#VALUE!</v>
      </c>
      <c r="FG1" t="e">
        <f>AND(Sheet1!AF3,"AAAAAFzxr6I=")</f>
        <v>#VALUE!</v>
      </c>
      <c r="FH1" t="e">
        <f>AND(Sheet1!AG3,"AAAAAFzxr6M=")</f>
        <v>#VALUE!</v>
      </c>
      <c r="FI1" t="e">
        <f>AND(Sheet1!AH3,"AAAAAFzxr6Q=")</f>
        <v>#VALUE!</v>
      </c>
      <c r="FJ1" t="e">
        <f>AND(Sheet1!AI3,"AAAAAFzxr6U=")</f>
        <v>#VALUE!</v>
      </c>
      <c r="FK1" t="e">
        <f>AND(Sheet1!AJ3,"AAAAAFzxr6Y=")</f>
        <v>#VALUE!</v>
      </c>
      <c r="FL1" t="e">
        <f>AND(Sheet1!AK3,"AAAAAFzxr6c=")</f>
        <v>#VALUE!</v>
      </c>
      <c r="FM1" t="e">
        <f>AND(Sheet1!AL3,"AAAAAFzxr6g=")</f>
        <v>#VALUE!</v>
      </c>
      <c r="FN1" t="e">
        <f>AND(Sheet1!AM3,"AAAAAFzxr6k=")</f>
        <v>#VALUE!</v>
      </c>
      <c r="FO1" t="e">
        <f>AND(Sheet1!AN3,"AAAAAFzxr6o=")</f>
        <v>#VALUE!</v>
      </c>
      <c r="FP1" t="e">
        <f>AND(Sheet1!AO3,"AAAAAFzxr6s=")</f>
        <v>#VALUE!</v>
      </c>
      <c r="FQ1" t="e">
        <f>AND(Sheet1!AP3,"AAAAAFzxr6w=")</f>
        <v>#VALUE!</v>
      </c>
      <c r="FR1" t="e">
        <f>AND(Sheet1!AQ3,"AAAAAFzxr60=")</f>
        <v>#VALUE!</v>
      </c>
      <c r="FS1" t="e">
        <f>AND(Sheet1!AR3,"AAAAAFzxr64=")</f>
        <v>#VALUE!</v>
      </c>
      <c r="FT1" t="e">
        <f>AND(Sheet1!AS3,"AAAAAFzxr68=")</f>
        <v>#VALUE!</v>
      </c>
      <c r="FU1" t="e">
        <f>AND(Sheet1!AT3,"AAAAAFzxr7A=")</f>
        <v>#VALUE!</v>
      </c>
      <c r="FV1" t="e">
        <f>AND(Sheet1!AU3,"AAAAAFzxr7E=")</f>
        <v>#VALUE!</v>
      </c>
      <c r="FW1" t="e">
        <f>AND(Sheet1!AV3,"AAAAAFzxr7I=")</f>
        <v>#VALUE!</v>
      </c>
      <c r="FX1" t="e">
        <f>AND(Sheet1!AW3,"AAAAAFzxr7M=")</f>
        <v>#VALUE!</v>
      </c>
      <c r="FY1" t="e">
        <f>AND(Sheet1!AX3,"AAAAAFzxr7Q=")</f>
        <v>#VALUE!</v>
      </c>
      <c r="FZ1" t="e">
        <f>AND(Sheet1!AY3,"AAAAAFzxr7U=")</f>
        <v>#VALUE!</v>
      </c>
      <c r="GA1" t="e">
        <f>AND(Sheet1!AZ3,"AAAAAFzxr7Y=")</f>
        <v>#VALUE!</v>
      </c>
      <c r="GB1" t="e">
        <f>AND(Sheet1!BA3,"AAAAAFzxr7c=")</f>
        <v>#VALUE!</v>
      </c>
      <c r="GC1" t="e">
        <f>AND(Sheet1!BB3,"AAAAAFzxr7g=")</f>
        <v>#VALUE!</v>
      </c>
      <c r="GD1" t="e">
        <f>AND(Sheet1!BC3,"AAAAAFzxr7k=")</f>
        <v>#VALUE!</v>
      </c>
      <c r="GE1" t="e">
        <f>AND(Sheet1!BD3,"AAAAAFzxr7o=")</f>
        <v>#VALUE!</v>
      </c>
      <c r="GF1" t="e">
        <f>AND(Sheet1!BE3,"AAAAAFzxr7s=")</f>
        <v>#VALUE!</v>
      </c>
      <c r="GG1" t="e">
        <f>AND(Sheet1!BF3,"AAAAAFzxr7w=")</f>
        <v>#VALUE!</v>
      </c>
      <c r="GH1" t="e">
        <f>AND(Sheet1!BG3,"AAAAAFzxr70=")</f>
        <v>#VALUE!</v>
      </c>
      <c r="GI1" t="e">
        <f>AND(Sheet1!BH3,"AAAAAFzxr74=")</f>
        <v>#VALUE!</v>
      </c>
      <c r="GJ1" t="e">
        <f>AND(Sheet1!BI3,"AAAAAFzxr78=")</f>
        <v>#VALUE!</v>
      </c>
      <c r="GK1" t="e">
        <f>AND(Sheet1!BJ3,"AAAAAFzxr8A=")</f>
        <v>#VALUE!</v>
      </c>
      <c r="GL1" t="e">
        <f>AND(Sheet1!BK3,"AAAAAFzxr8E=")</f>
        <v>#VALUE!</v>
      </c>
      <c r="GM1" t="e">
        <f>AND(Sheet1!BL3,"AAAAAFzxr8I=")</f>
        <v>#VALUE!</v>
      </c>
      <c r="GN1">
        <f>IF(Sheet1!4:4,"AAAAAFzxr8M=",0)</f>
        <v>0</v>
      </c>
      <c r="GO1" t="e">
        <f>AND(Sheet1!A4,"AAAAAFzxr8Q=")</f>
        <v>#VALUE!</v>
      </c>
      <c r="GP1" t="e">
        <f>AND(Sheet1!B4,"AAAAAFzxr8U=")</f>
        <v>#VALUE!</v>
      </c>
      <c r="GQ1" t="e">
        <f>AND(Sheet1!C4,"AAAAAFzxr8Y=")</f>
        <v>#VALUE!</v>
      </c>
      <c r="GR1" t="e">
        <f>AND(Sheet1!D4,"AAAAAFzxr8c=")</f>
        <v>#VALUE!</v>
      </c>
      <c r="GS1" t="e">
        <f>AND(Sheet1!E4,"AAAAAFzxr8g=")</f>
        <v>#VALUE!</v>
      </c>
      <c r="GT1" t="e">
        <f>AND(Sheet1!F4,"AAAAAFzxr8k=")</f>
        <v>#VALUE!</v>
      </c>
      <c r="GU1" t="e">
        <f>AND(Sheet1!G4,"AAAAAFzxr8o=")</f>
        <v>#VALUE!</v>
      </c>
      <c r="GV1" t="e">
        <f>AND(Sheet1!H4,"AAAAAFzxr8s=")</f>
        <v>#VALUE!</v>
      </c>
      <c r="GW1" t="e">
        <f>AND(Sheet1!I4,"AAAAAFzxr8w=")</f>
        <v>#VALUE!</v>
      </c>
      <c r="GX1" t="e">
        <f>AND(Sheet1!J4,"AAAAAFzxr80=")</f>
        <v>#VALUE!</v>
      </c>
      <c r="GY1" t="e">
        <f>AND(Sheet1!K4,"AAAAAFzxr84=")</f>
        <v>#VALUE!</v>
      </c>
      <c r="GZ1" t="e">
        <f>AND(Sheet1!L4,"AAAAAFzxr88=")</f>
        <v>#VALUE!</v>
      </c>
      <c r="HA1" t="e">
        <f>AND(Sheet1!M4,"AAAAAFzxr9A=")</f>
        <v>#VALUE!</v>
      </c>
      <c r="HB1" t="e">
        <f>AND(Sheet1!N4,"AAAAAFzxr9E=")</f>
        <v>#VALUE!</v>
      </c>
      <c r="HC1" t="e">
        <f>AND(Sheet1!O4,"AAAAAFzxr9I=")</f>
        <v>#VALUE!</v>
      </c>
      <c r="HD1" t="e">
        <f>AND(Sheet1!P4,"AAAAAFzxr9M=")</f>
        <v>#VALUE!</v>
      </c>
      <c r="HE1" t="e">
        <f>AND(Sheet1!Q4,"AAAAAFzxr9Q=")</f>
        <v>#VALUE!</v>
      </c>
      <c r="HF1" t="e">
        <f>AND(Sheet1!R4,"AAAAAFzxr9U=")</f>
        <v>#VALUE!</v>
      </c>
      <c r="HG1" t="e">
        <f>AND(Sheet1!S4,"AAAAAFzxr9Y=")</f>
        <v>#VALUE!</v>
      </c>
      <c r="HH1" t="e">
        <f>AND(Sheet1!T4,"AAAAAFzxr9c=")</f>
        <v>#VALUE!</v>
      </c>
      <c r="HI1" t="e">
        <f>AND(Sheet1!U4,"AAAAAFzxr9g=")</f>
        <v>#VALUE!</v>
      </c>
      <c r="HJ1" t="e">
        <f>AND(Sheet1!V4,"AAAAAFzxr9k=")</f>
        <v>#VALUE!</v>
      </c>
      <c r="HK1" t="e">
        <f>AND(Sheet1!W4,"AAAAAFzxr9o=")</f>
        <v>#VALUE!</v>
      </c>
      <c r="HL1" t="e">
        <f>AND(Sheet1!X4,"AAAAAFzxr9s=")</f>
        <v>#VALUE!</v>
      </c>
      <c r="HM1" t="e">
        <f>AND(Sheet1!Y4,"AAAAAFzxr9w=")</f>
        <v>#VALUE!</v>
      </c>
      <c r="HN1" t="e">
        <f>AND(Sheet1!Z4,"AAAAAFzxr90=")</f>
        <v>#VALUE!</v>
      </c>
      <c r="HO1" t="e">
        <f>AND(Sheet1!AA4,"AAAAAFzxr94=")</f>
        <v>#VALUE!</v>
      </c>
      <c r="HP1" t="e">
        <f>AND(Sheet1!AB4,"AAAAAFzxr98=")</f>
        <v>#VALUE!</v>
      </c>
      <c r="HQ1" t="e">
        <f>AND(Sheet1!AC4,"AAAAAFzxr+A=")</f>
        <v>#VALUE!</v>
      </c>
      <c r="HR1" t="e">
        <f>AND(Sheet1!AD4,"AAAAAFzxr+E=")</f>
        <v>#VALUE!</v>
      </c>
      <c r="HS1" t="e">
        <f>AND(Sheet1!AE4,"AAAAAFzxr+I=")</f>
        <v>#VALUE!</v>
      </c>
      <c r="HT1" t="e">
        <f>AND(Sheet1!AF4,"AAAAAFzxr+M=")</f>
        <v>#VALUE!</v>
      </c>
      <c r="HU1" t="e">
        <f>AND(Sheet1!AG4,"AAAAAFzxr+Q=")</f>
        <v>#VALUE!</v>
      </c>
      <c r="HV1" t="e">
        <f>AND(Sheet1!AH4,"AAAAAFzxr+U=")</f>
        <v>#VALUE!</v>
      </c>
      <c r="HW1" t="e">
        <f>AND(Sheet1!AI4,"AAAAAFzxr+Y=")</f>
        <v>#VALUE!</v>
      </c>
      <c r="HX1" t="e">
        <f>AND(Sheet1!AJ4,"AAAAAFzxr+c=")</f>
        <v>#VALUE!</v>
      </c>
      <c r="HY1" t="e">
        <f>AND(Sheet1!AK4,"AAAAAFzxr+g=")</f>
        <v>#VALUE!</v>
      </c>
      <c r="HZ1" t="e">
        <f>AND(Sheet1!AL4,"AAAAAFzxr+k=")</f>
        <v>#VALUE!</v>
      </c>
      <c r="IA1" t="e">
        <f>AND(Sheet1!AM4,"AAAAAFzxr+o=")</f>
        <v>#VALUE!</v>
      </c>
      <c r="IB1" t="e">
        <f>AND(Sheet1!AN4,"AAAAAFzxr+s=")</f>
        <v>#VALUE!</v>
      </c>
      <c r="IC1" t="e">
        <f>AND(Sheet1!AO4,"AAAAAFzxr+w=")</f>
        <v>#VALUE!</v>
      </c>
      <c r="ID1" t="e">
        <f>AND(Sheet1!AP4,"AAAAAFzxr+0=")</f>
        <v>#VALUE!</v>
      </c>
      <c r="IE1" t="e">
        <f>AND(Sheet1!AQ4,"AAAAAFzxr+4=")</f>
        <v>#VALUE!</v>
      </c>
      <c r="IF1" t="e">
        <f>AND(Sheet1!AR4,"AAAAAFzxr+8=")</f>
        <v>#VALUE!</v>
      </c>
      <c r="IG1" t="e">
        <f>AND(Sheet1!AS4,"AAAAAFzxr/A=")</f>
        <v>#VALUE!</v>
      </c>
      <c r="IH1" t="e">
        <f>AND(Sheet1!AT4,"AAAAAFzxr/E=")</f>
        <v>#VALUE!</v>
      </c>
      <c r="II1" t="e">
        <f>AND(Sheet1!AU4,"AAAAAFzxr/I=")</f>
        <v>#VALUE!</v>
      </c>
      <c r="IJ1" t="e">
        <f>AND(Sheet1!AV4,"AAAAAFzxr/M=")</f>
        <v>#VALUE!</v>
      </c>
      <c r="IK1" t="e">
        <f>AND(Sheet1!AW4,"AAAAAFzxr/Q=")</f>
        <v>#VALUE!</v>
      </c>
      <c r="IL1" t="e">
        <f>AND(Sheet1!AX4,"AAAAAFzxr/U=")</f>
        <v>#VALUE!</v>
      </c>
      <c r="IM1" t="e">
        <f>AND(Sheet1!AY4,"AAAAAFzxr/Y=")</f>
        <v>#VALUE!</v>
      </c>
      <c r="IN1" t="e">
        <f>AND(Sheet1!AZ4,"AAAAAFzxr/c=")</f>
        <v>#VALUE!</v>
      </c>
      <c r="IO1" t="e">
        <f>AND(Sheet1!BA4,"AAAAAFzxr/g=")</f>
        <v>#VALUE!</v>
      </c>
      <c r="IP1" t="e">
        <f>AND(Sheet1!BB4,"AAAAAFzxr/k=")</f>
        <v>#VALUE!</v>
      </c>
      <c r="IQ1" t="e">
        <f>AND(Sheet1!BC4,"AAAAAFzxr/o=")</f>
        <v>#VALUE!</v>
      </c>
      <c r="IR1" t="e">
        <f>AND(Sheet1!BD4,"AAAAAFzxr/s=")</f>
        <v>#VALUE!</v>
      </c>
      <c r="IS1" t="e">
        <f>AND(Sheet1!BE4,"AAAAAFzxr/w=")</f>
        <v>#VALUE!</v>
      </c>
      <c r="IT1" t="e">
        <f>AND(Sheet1!BF4,"AAAAAFzxr/0=")</f>
        <v>#VALUE!</v>
      </c>
      <c r="IU1" t="e">
        <f>AND(Sheet1!BG4,"AAAAAFzxr/4=")</f>
        <v>#VALUE!</v>
      </c>
      <c r="IV1" t="e">
        <f>AND(Sheet1!BH4,"AAAAAFzxr/8=")</f>
        <v>#VALUE!</v>
      </c>
    </row>
    <row r="2" spans="1:256" ht="12.75">
      <c r="A2" t="e">
        <f>AND(Sheet1!BI4,"AAAAAB3VnwA=")</f>
        <v>#VALUE!</v>
      </c>
      <c r="B2" t="e">
        <f>AND(Sheet1!BJ4,"AAAAAB3VnwE=")</f>
        <v>#VALUE!</v>
      </c>
      <c r="C2" t="e">
        <f>AND(Sheet1!BK4,"AAAAAB3VnwI=")</f>
        <v>#VALUE!</v>
      </c>
      <c r="D2" t="e">
        <f>AND(Sheet1!BL4,"AAAAAB3VnwM=")</f>
        <v>#VALUE!</v>
      </c>
      <c r="E2">
        <f>IF(Sheet1!5:5,"AAAAAB3VnwQ=",0)</f>
        <v>0</v>
      </c>
      <c r="F2" t="e">
        <f>AND(Sheet1!A5,"AAAAAB3VnwU=")</f>
        <v>#VALUE!</v>
      </c>
      <c r="G2" t="e">
        <f>AND(Sheet1!B5,"AAAAAB3VnwY=")</f>
        <v>#VALUE!</v>
      </c>
      <c r="H2" t="e">
        <f>AND(Sheet1!C5,"AAAAAB3Vnwc=")</f>
        <v>#VALUE!</v>
      </c>
      <c r="I2" t="e">
        <f>AND(Sheet1!D5,"AAAAAB3Vnwg=")</f>
        <v>#VALUE!</v>
      </c>
      <c r="J2" t="e">
        <f>AND(Sheet1!E5,"AAAAAB3Vnwk=")</f>
        <v>#VALUE!</v>
      </c>
      <c r="K2" t="e">
        <f>AND(Sheet1!F5,"AAAAAB3Vnwo=")</f>
        <v>#VALUE!</v>
      </c>
      <c r="L2" t="e">
        <f>AND(Sheet1!G5,"AAAAAB3Vnws=")</f>
        <v>#VALUE!</v>
      </c>
      <c r="M2" t="e">
        <f>AND(Sheet1!H5,"AAAAAB3Vnww=")</f>
        <v>#VALUE!</v>
      </c>
      <c r="N2" t="e">
        <f>AND(Sheet1!I5,"AAAAAB3Vnw0=")</f>
        <v>#VALUE!</v>
      </c>
      <c r="O2" t="e">
        <f>AND(Sheet1!J5,"AAAAAB3Vnw4=")</f>
        <v>#VALUE!</v>
      </c>
      <c r="P2" t="e">
        <f>AND(Sheet1!K5,"AAAAAB3Vnw8=")</f>
        <v>#VALUE!</v>
      </c>
      <c r="Q2" t="e">
        <f>AND(Sheet1!L5,"AAAAAB3VnxA=")</f>
        <v>#VALUE!</v>
      </c>
      <c r="R2" t="e">
        <f>AND(Sheet1!M5,"AAAAAB3VnxE=")</f>
        <v>#VALUE!</v>
      </c>
      <c r="S2" t="e">
        <f>AND(Sheet1!N5,"AAAAAB3VnxI=")</f>
        <v>#VALUE!</v>
      </c>
      <c r="T2" t="e">
        <f>AND(Sheet1!O5,"AAAAAB3VnxM=")</f>
        <v>#VALUE!</v>
      </c>
      <c r="U2" t="e">
        <f>AND(Sheet1!P5,"AAAAAB3VnxQ=")</f>
        <v>#VALUE!</v>
      </c>
      <c r="V2" t="e">
        <f>AND(Sheet1!Q5,"AAAAAB3VnxU=")</f>
        <v>#VALUE!</v>
      </c>
      <c r="W2" t="e">
        <f>AND(Sheet1!R5,"AAAAAB3VnxY=")</f>
        <v>#VALUE!</v>
      </c>
      <c r="X2" t="e">
        <f>AND(Sheet1!S5,"AAAAAB3Vnxc=")</f>
        <v>#VALUE!</v>
      </c>
      <c r="Y2" t="e">
        <f>AND(Sheet1!T5,"AAAAAB3Vnxg=")</f>
        <v>#VALUE!</v>
      </c>
      <c r="Z2" t="e">
        <f>AND(Sheet1!U5,"AAAAAB3Vnxk=")</f>
        <v>#VALUE!</v>
      </c>
      <c r="AA2" t="e">
        <f>AND(Sheet1!V5,"AAAAAB3Vnxo=")</f>
        <v>#VALUE!</v>
      </c>
      <c r="AB2" t="e">
        <f>AND(Sheet1!W5,"AAAAAB3Vnxs=")</f>
        <v>#VALUE!</v>
      </c>
      <c r="AC2" t="e">
        <f>AND(Sheet1!X5,"AAAAAB3Vnxw=")</f>
        <v>#VALUE!</v>
      </c>
      <c r="AD2" t="e">
        <f>AND(Sheet1!Y5,"AAAAAB3Vnx0=")</f>
        <v>#VALUE!</v>
      </c>
      <c r="AE2" t="e">
        <f>AND(Sheet1!Z5,"AAAAAB3Vnx4=")</f>
        <v>#VALUE!</v>
      </c>
      <c r="AF2" t="e">
        <f>AND(Sheet1!AA5,"AAAAAB3Vnx8=")</f>
        <v>#VALUE!</v>
      </c>
      <c r="AG2" t="e">
        <f>AND(Sheet1!AB5,"AAAAAB3VnyA=")</f>
        <v>#VALUE!</v>
      </c>
      <c r="AH2" t="e">
        <f>AND(Sheet1!AC5,"AAAAAB3VnyE=")</f>
        <v>#VALUE!</v>
      </c>
      <c r="AI2" t="e">
        <f>AND(Sheet1!AD5,"AAAAAB3VnyI=")</f>
        <v>#VALUE!</v>
      </c>
      <c r="AJ2" t="e">
        <f>AND(Sheet1!AE5,"AAAAAB3VnyM=")</f>
        <v>#VALUE!</v>
      </c>
      <c r="AK2" t="e">
        <f>AND(Sheet1!AF5,"AAAAAB3VnyQ=")</f>
        <v>#VALUE!</v>
      </c>
      <c r="AL2" t="e">
        <f>AND(Sheet1!AG5,"AAAAAB3VnyU=")</f>
        <v>#VALUE!</v>
      </c>
      <c r="AM2" t="e">
        <f>AND(Sheet1!AH5,"AAAAAB3VnyY=")</f>
        <v>#VALUE!</v>
      </c>
      <c r="AN2" t="e">
        <f>AND(Sheet1!AI5,"AAAAAB3Vnyc=")</f>
        <v>#VALUE!</v>
      </c>
      <c r="AO2" t="e">
        <f>AND(Sheet1!AJ5,"AAAAAB3Vnyg=")</f>
        <v>#VALUE!</v>
      </c>
      <c r="AP2" t="e">
        <f>AND(Sheet1!AK5,"AAAAAB3Vnyk=")</f>
        <v>#VALUE!</v>
      </c>
      <c r="AQ2" t="e">
        <f>AND(Sheet1!AL5,"AAAAAB3Vnyo=")</f>
        <v>#VALUE!</v>
      </c>
      <c r="AR2" t="e">
        <f>AND(Sheet1!AM5,"AAAAAB3Vnys=")</f>
        <v>#VALUE!</v>
      </c>
      <c r="AS2" t="e">
        <f>AND(Sheet1!AN5,"AAAAAB3Vnyw=")</f>
        <v>#VALUE!</v>
      </c>
      <c r="AT2" t="e">
        <f>AND(Sheet1!AO5,"AAAAAB3Vny0=")</f>
        <v>#VALUE!</v>
      </c>
      <c r="AU2" t="e">
        <f>AND(Sheet1!AP5,"AAAAAB3Vny4=")</f>
        <v>#VALUE!</v>
      </c>
      <c r="AV2" t="e">
        <f>AND(Sheet1!AQ5,"AAAAAB3Vny8=")</f>
        <v>#VALUE!</v>
      </c>
      <c r="AW2" t="e">
        <f>AND(Sheet1!AR5,"AAAAAB3VnzA=")</f>
        <v>#VALUE!</v>
      </c>
      <c r="AX2" t="e">
        <f>AND(Sheet1!AS5,"AAAAAB3VnzE=")</f>
        <v>#VALUE!</v>
      </c>
      <c r="AY2" t="e">
        <f>AND(Sheet1!AT5,"AAAAAB3VnzI=")</f>
        <v>#VALUE!</v>
      </c>
      <c r="AZ2" t="e">
        <f>AND(Sheet1!AU5,"AAAAAB3VnzM=")</f>
        <v>#VALUE!</v>
      </c>
      <c r="BA2" t="e">
        <f>AND(Sheet1!AV5,"AAAAAB3VnzQ=")</f>
        <v>#VALUE!</v>
      </c>
      <c r="BB2" t="e">
        <f>AND(Sheet1!AW5,"AAAAAB3VnzU=")</f>
        <v>#VALUE!</v>
      </c>
      <c r="BC2" t="e">
        <f>AND(Sheet1!AX5,"AAAAAB3VnzY=")</f>
        <v>#VALUE!</v>
      </c>
      <c r="BD2" t="e">
        <f>AND(Sheet1!AY5,"AAAAAB3Vnzc=")</f>
        <v>#VALUE!</v>
      </c>
      <c r="BE2" t="e">
        <f>AND(Sheet1!AZ5,"AAAAAB3Vnzg=")</f>
        <v>#VALUE!</v>
      </c>
      <c r="BF2" t="e">
        <f>AND(Sheet1!BA5,"AAAAAB3Vnzk=")</f>
        <v>#VALUE!</v>
      </c>
      <c r="BG2" t="e">
        <f>AND(Sheet1!BB5,"AAAAAB3Vnzo=")</f>
        <v>#VALUE!</v>
      </c>
      <c r="BH2" t="e">
        <f>AND(Sheet1!BC5,"AAAAAB3Vnzs=")</f>
        <v>#VALUE!</v>
      </c>
      <c r="BI2" t="e">
        <f>AND(Sheet1!BD5,"AAAAAB3Vnzw=")</f>
        <v>#VALUE!</v>
      </c>
      <c r="BJ2" t="e">
        <f>AND(Sheet1!BE5,"AAAAAB3Vnz0=")</f>
        <v>#VALUE!</v>
      </c>
      <c r="BK2" t="e">
        <f>AND(Sheet1!BF5,"AAAAAB3Vnz4=")</f>
        <v>#VALUE!</v>
      </c>
      <c r="BL2" t="e">
        <f>AND(Sheet1!BG5,"AAAAAB3Vnz8=")</f>
        <v>#VALUE!</v>
      </c>
      <c r="BM2" t="e">
        <f>AND(Sheet1!BH5,"AAAAAB3Vn0A=")</f>
        <v>#VALUE!</v>
      </c>
      <c r="BN2" t="e">
        <f>AND(Sheet1!BI5,"AAAAAB3Vn0E=")</f>
        <v>#VALUE!</v>
      </c>
      <c r="BO2" t="e">
        <f>AND(Sheet1!BJ5,"AAAAAB3Vn0I=")</f>
        <v>#VALUE!</v>
      </c>
      <c r="BP2" t="e">
        <f>AND(Sheet1!BK5,"AAAAAB3Vn0M=")</f>
        <v>#VALUE!</v>
      </c>
      <c r="BQ2" t="e">
        <f>AND(Sheet1!BL5,"AAAAAB3Vn0Q=")</f>
        <v>#VALUE!</v>
      </c>
      <c r="BR2">
        <f>IF(Sheet1!6:6,"AAAAAB3Vn0U=",0)</f>
        <v>0</v>
      </c>
      <c r="BS2" t="e">
        <f>AND(Sheet1!A6,"AAAAAB3Vn0Y=")</f>
        <v>#VALUE!</v>
      </c>
      <c r="BT2" t="e">
        <f>AND(Sheet1!B6,"AAAAAB3Vn0c=")</f>
        <v>#VALUE!</v>
      </c>
      <c r="BU2" t="e">
        <f>AND(Sheet1!C6,"AAAAAB3Vn0g=")</f>
        <v>#VALUE!</v>
      </c>
      <c r="BV2" t="e">
        <f>AND(Sheet1!D6,"AAAAAB3Vn0k=")</f>
        <v>#VALUE!</v>
      </c>
      <c r="BW2" t="e">
        <f>AND(Sheet1!E6,"AAAAAB3Vn0o=")</f>
        <v>#VALUE!</v>
      </c>
      <c r="BX2" t="e">
        <f>AND(Sheet1!F6,"AAAAAB3Vn0s=")</f>
        <v>#VALUE!</v>
      </c>
      <c r="BY2" t="e">
        <f>AND(Sheet1!G6,"AAAAAB3Vn0w=")</f>
        <v>#VALUE!</v>
      </c>
      <c r="BZ2" t="e">
        <f>AND(Sheet1!H6,"AAAAAB3Vn00=")</f>
        <v>#VALUE!</v>
      </c>
      <c r="CA2" t="e">
        <f>AND(Sheet1!I6,"AAAAAB3Vn04=")</f>
        <v>#VALUE!</v>
      </c>
      <c r="CB2" t="e">
        <f>AND(Sheet1!J6,"AAAAAB3Vn08=")</f>
        <v>#VALUE!</v>
      </c>
      <c r="CC2" t="e">
        <f>AND(Sheet1!K6,"AAAAAB3Vn1A=")</f>
        <v>#VALUE!</v>
      </c>
      <c r="CD2" t="e">
        <f>AND(Sheet1!L6,"AAAAAB3Vn1E=")</f>
        <v>#VALUE!</v>
      </c>
      <c r="CE2" t="e">
        <f>AND(Sheet1!M6,"AAAAAB3Vn1I=")</f>
        <v>#VALUE!</v>
      </c>
      <c r="CF2" t="e">
        <f>AND(Sheet1!N6,"AAAAAB3Vn1M=")</f>
        <v>#VALUE!</v>
      </c>
      <c r="CG2" t="e">
        <f>AND(Sheet1!O6,"AAAAAB3Vn1Q=")</f>
        <v>#VALUE!</v>
      </c>
      <c r="CH2" t="e">
        <f>AND(Sheet1!P6,"AAAAAB3Vn1U=")</f>
        <v>#VALUE!</v>
      </c>
      <c r="CI2" t="e">
        <f>AND(Sheet1!Q6,"AAAAAB3Vn1Y=")</f>
        <v>#VALUE!</v>
      </c>
      <c r="CJ2" t="e">
        <f>AND(Sheet1!R6,"AAAAAB3Vn1c=")</f>
        <v>#VALUE!</v>
      </c>
      <c r="CK2" t="e">
        <f>AND(Sheet1!S6,"AAAAAB3Vn1g=")</f>
        <v>#VALUE!</v>
      </c>
      <c r="CL2" t="e">
        <f>AND(Sheet1!T6,"AAAAAB3Vn1k=")</f>
        <v>#VALUE!</v>
      </c>
      <c r="CM2" t="e">
        <f>AND(Sheet1!U6,"AAAAAB3Vn1o=")</f>
        <v>#VALUE!</v>
      </c>
      <c r="CN2" t="e">
        <f>AND(Sheet1!V6,"AAAAAB3Vn1s=")</f>
        <v>#VALUE!</v>
      </c>
      <c r="CO2" t="e">
        <f>AND(Sheet1!W6,"AAAAAB3Vn1w=")</f>
        <v>#VALUE!</v>
      </c>
      <c r="CP2" t="e">
        <f>AND(Sheet1!X6,"AAAAAB3Vn10=")</f>
        <v>#VALUE!</v>
      </c>
      <c r="CQ2" t="e">
        <f>AND(Sheet1!Y6,"AAAAAB3Vn14=")</f>
        <v>#VALUE!</v>
      </c>
      <c r="CR2" t="e">
        <f>AND(Sheet1!Z6,"AAAAAB3Vn18=")</f>
        <v>#VALUE!</v>
      </c>
      <c r="CS2" t="e">
        <f>AND(Sheet1!AA6,"AAAAAB3Vn2A=")</f>
        <v>#VALUE!</v>
      </c>
      <c r="CT2" t="e">
        <f>AND(Sheet1!AB6,"AAAAAB3Vn2E=")</f>
        <v>#VALUE!</v>
      </c>
      <c r="CU2" t="e">
        <f>AND(Sheet1!AC6,"AAAAAB3Vn2I=")</f>
        <v>#VALUE!</v>
      </c>
      <c r="CV2" t="e">
        <f>AND(Sheet1!AD6,"AAAAAB3Vn2M=")</f>
        <v>#VALUE!</v>
      </c>
      <c r="CW2" t="e">
        <f>AND(Sheet1!AE6,"AAAAAB3Vn2Q=")</f>
        <v>#VALUE!</v>
      </c>
      <c r="CX2" t="e">
        <f>AND(Sheet1!AF6,"AAAAAB3Vn2U=")</f>
        <v>#VALUE!</v>
      </c>
      <c r="CY2" t="e">
        <f>AND(Sheet1!AG6,"AAAAAB3Vn2Y=")</f>
        <v>#VALUE!</v>
      </c>
      <c r="CZ2" t="e">
        <f>AND(Sheet1!AH6,"AAAAAB3Vn2c=")</f>
        <v>#VALUE!</v>
      </c>
      <c r="DA2" t="e">
        <f>AND(Sheet1!AI6,"AAAAAB3Vn2g=")</f>
        <v>#VALUE!</v>
      </c>
      <c r="DB2" t="e">
        <f>AND(Sheet1!AJ6,"AAAAAB3Vn2k=")</f>
        <v>#VALUE!</v>
      </c>
      <c r="DC2" t="e">
        <f>AND(Sheet1!AK6,"AAAAAB3Vn2o=")</f>
        <v>#VALUE!</v>
      </c>
      <c r="DD2" t="e">
        <f>AND(Sheet1!AL6,"AAAAAB3Vn2s=")</f>
        <v>#VALUE!</v>
      </c>
      <c r="DE2" t="e">
        <f>AND(Sheet1!AM6,"AAAAAB3Vn2w=")</f>
        <v>#VALUE!</v>
      </c>
      <c r="DF2" t="e">
        <f>AND(Sheet1!AN6,"AAAAAB3Vn20=")</f>
        <v>#VALUE!</v>
      </c>
      <c r="DG2" t="e">
        <f>AND(Sheet1!AO6,"AAAAAB3Vn24=")</f>
        <v>#VALUE!</v>
      </c>
      <c r="DH2" t="e">
        <f>AND(Sheet1!AP6,"AAAAAB3Vn28=")</f>
        <v>#VALUE!</v>
      </c>
      <c r="DI2" t="e">
        <f>AND(Sheet1!AQ6,"AAAAAB3Vn3A=")</f>
        <v>#VALUE!</v>
      </c>
      <c r="DJ2" t="e">
        <f>AND(Sheet1!AR6,"AAAAAB3Vn3E=")</f>
        <v>#VALUE!</v>
      </c>
      <c r="DK2" t="e">
        <f>AND(Sheet1!AS6,"AAAAAB3Vn3I=")</f>
        <v>#VALUE!</v>
      </c>
      <c r="DL2" t="e">
        <f>AND(Sheet1!AT6,"AAAAAB3Vn3M=")</f>
        <v>#VALUE!</v>
      </c>
      <c r="DM2" t="e">
        <f>AND(Sheet1!AU6,"AAAAAB3Vn3Q=")</f>
        <v>#VALUE!</v>
      </c>
      <c r="DN2" t="e">
        <f>AND(Sheet1!AV6,"AAAAAB3Vn3U=")</f>
        <v>#VALUE!</v>
      </c>
      <c r="DO2" t="e">
        <f>AND(Sheet1!AW6,"AAAAAB3Vn3Y=")</f>
        <v>#VALUE!</v>
      </c>
      <c r="DP2" t="e">
        <f>AND(Sheet1!AX6,"AAAAAB3Vn3c=")</f>
        <v>#VALUE!</v>
      </c>
      <c r="DQ2" t="e">
        <f>AND(Sheet1!AY6,"AAAAAB3Vn3g=")</f>
        <v>#VALUE!</v>
      </c>
      <c r="DR2" t="e">
        <f>AND(Sheet1!AZ6,"AAAAAB3Vn3k=")</f>
        <v>#VALUE!</v>
      </c>
      <c r="DS2" t="e">
        <f>AND(Sheet1!BA6,"AAAAAB3Vn3o=")</f>
        <v>#VALUE!</v>
      </c>
      <c r="DT2" t="e">
        <f>AND(Sheet1!BB6,"AAAAAB3Vn3s=")</f>
        <v>#VALUE!</v>
      </c>
      <c r="DU2" t="e">
        <f>AND(Sheet1!BC6,"AAAAAB3Vn3w=")</f>
        <v>#VALUE!</v>
      </c>
      <c r="DV2" t="e">
        <f>AND(Sheet1!BD6,"AAAAAB3Vn30=")</f>
        <v>#VALUE!</v>
      </c>
      <c r="DW2" t="e">
        <f>AND(Sheet1!BE6,"AAAAAB3Vn34=")</f>
        <v>#VALUE!</v>
      </c>
      <c r="DX2" t="e">
        <f>AND(Sheet1!BF6,"AAAAAB3Vn38=")</f>
        <v>#VALUE!</v>
      </c>
      <c r="DY2" t="e">
        <f>AND(Sheet1!BG6,"AAAAAB3Vn4A=")</f>
        <v>#VALUE!</v>
      </c>
      <c r="DZ2" t="e">
        <f>AND(Sheet1!BH6,"AAAAAB3Vn4E=")</f>
        <v>#VALUE!</v>
      </c>
      <c r="EA2" t="e">
        <f>AND(Sheet1!BI6,"AAAAAB3Vn4I=")</f>
        <v>#VALUE!</v>
      </c>
      <c r="EB2" t="e">
        <f>AND(Sheet1!BJ6,"AAAAAB3Vn4M=")</f>
        <v>#VALUE!</v>
      </c>
      <c r="EC2" t="e">
        <f>AND(Sheet1!BK6,"AAAAAB3Vn4Q=")</f>
        <v>#VALUE!</v>
      </c>
      <c r="ED2" t="e">
        <f>AND(Sheet1!BL6,"AAAAAB3Vn4U=")</f>
        <v>#VALUE!</v>
      </c>
      <c r="EE2">
        <f>IF(Sheet1!7:7,"AAAAAB3Vn4Y=",0)</f>
        <v>0</v>
      </c>
      <c r="EF2" t="e">
        <f>AND(Sheet1!A7,"AAAAAB3Vn4c=")</f>
        <v>#VALUE!</v>
      </c>
      <c r="EG2" t="e">
        <f>AND(Sheet1!B7,"AAAAAB3Vn4g=")</f>
        <v>#VALUE!</v>
      </c>
      <c r="EH2" t="e">
        <f>AND(Sheet1!C7,"AAAAAB3Vn4k=")</f>
        <v>#VALUE!</v>
      </c>
      <c r="EI2" t="e">
        <f>AND(Sheet1!D7,"AAAAAB3Vn4o=")</f>
        <v>#VALUE!</v>
      </c>
      <c r="EJ2" t="e">
        <f>AND(Sheet1!E7,"AAAAAB3Vn4s=")</f>
        <v>#VALUE!</v>
      </c>
      <c r="EK2" t="e">
        <f>AND(Sheet1!F7,"AAAAAB3Vn4w=")</f>
        <v>#VALUE!</v>
      </c>
      <c r="EL2" t="e">
        <f>AND(Sheet1!G7,"AAAAAB3Vn40=")</f>
        <v>#VALUE!</v>
      </c>
      <c r="EM2" t="e">
        <f>AND(Sheet1!H7,"AAAAAB3Vn44=")</f>
        <v>#VALUE!</v>
      </c>
      <c r="EN2" t="e">
        <f>AND(Sheet1!I7,"AAAAAB3Vn48=")</f>
        <v>#VALUE!</v>
      </c>
      <c r="EO2" t="e">
        <f>AND(Sheet1!J7,"AAAAAB3Vn5A=")</f>
        <v>#VALUE!</v>
      </c>
      <c r="EP2" t="e">
        <f>AND(Sheet1!K7,"AAAAAB3Vn5E=")</f>
        <v>#VALUE!</v>
      </c>
      <c r="EQ2" t="e">
        <f>AND(Sheet1!L7,"AAAAAB3Vn5I=")</f>
        <v>#VALUE!</v>
      </c>
      <c r="ER2" t="e">
        <f>AND(Sheet1!M7,"AAAAAB3Vn5M=")</f>
        <v>#VALUE!</v>
      </c>
      <c r="ES2" t="e">
        <f>AND(Sheet1!N7,"AAAAAB3Vn5Q=")</f>
        <v>#VALUE!</v>
      </c>
      <c r="ET2" t="e">
        <f>AND(Sheet1!O7,"AAAAAB3Vn5U=")</f>
        <v>#VALUE!</v>
      </c>
      <c r="EU2" t="e">
        <f>AND(Sheet1!P7,"AAAAAB3Vn5Y=")</f>
        <v>#VALUE!</v>
      </c>
      <c r="EV2" t="e">
        <f>AND(Sheet1!Q7,"AAAAAB3Vn5c=")</f>
        <v>#VALUE!</v>
      </c>
      <c r="EW2" t="e">
        <f>AND(Sheet1!R7,"AAAAAB3Vn5g=")</f>
        <v>#VALUE!</v>
      </c>
      <c r="EX2" t="e">
        <f>AND(Sheet1!S7,"AAAAAB3Vn5k=")</f>
        <v>#VALUE!</v>
      </c>
      <c r="EY2" t="e">
        <f>AND(Sheet1!T7,"AAAAAB3Vn5o=")</f>
        <v>#VALUE!</v>
      </c>
      <c r="EZ2" t="e">
        <f>AND(Sheet1!U7,"AAAAAB3Vn5s=")</f>
        <v>#VALUE!</v>
      </c>
      <c r="FA2" t="e">
        <f>AND(Sheet1!V7,"AAAAAB3Vn5w=")</f>
        <v>#VALUE!</v>
      </c>
      <c r="FB2" t="e">
        <f>AND(Sheet1!W7,"AAAAAB3Vn50=")</f>
        <v>#VALUE!</v>
      </c>
      <c r="FC2" t="e">
        <f>AND(Sheet1!X7,"AAAAAB3Vn54=")</f>
        <v>#VALUE!</v>
      </c>
      <c r="FD2" t="e">
        <f>AND(Sheet1!Y7,"AAAAAB3Vn58=")</f>
        <v>#VALUE!</v>
      </c>
      <c r="FE2" t="e">
        <f>AND(Sheet1!Z7,"AAAAAB3Vn6A=")</f>
        <v>#VALUE!</v>
      </c>
      <c r="FF2" t="e">
        <f>AND(Sheet1!AA7,"AAAAAB3Vn6E=")</f>
        <v>#VALUE!</v>
      </c>
      <c r="FG2" t="e">
        <f>AND(Sheet1!AB7,"AAAAAB3Vn6I=")</f>
        <v>#VALUE!</v>
      </c>
      <c r="FH2" t="e">
        <f>AND(Sheet1!AC7,"AAAAAB3Vn6M=")</f>
        <v>#VALUE!</v>
      </c>
      <c r="FI2" t="e">
        <f>AND(Sheet1!AD7,"AAAAAB3Vn6Q=")</f>
        <v>#VALUE!</v>
      </c>
      <c r="FJ2" t="e">
        <f>AND(Sheet1!AE7,"AAAAAB3Vn6U=")</f>
        <v>#VALUE!</v>
      </c>
      <c r="FK2" t="e">
        <f>AND(Sheet1!AF7,"AAAAAB3Vn6Y=")</f>
        <v>#VALUE!</v>
      </c>
      <c r="FL2" t="e">
        <f>AND(Sheet1!AG7,"AAAAAB3Vn6c=")</f>
        <v>#VALUE!</v>
      </c>
      <c r="FM2" t="e">
        <f>AND(Sheet1!AH7,"AAAAAB3Vn6g=")</f>
        <v>#VALUE!</v>
      </c>
      <c r="FN2" t="e">
        <f>AND(Sheet1!AI7,"AAAAAB3Vn6k=")</f>
        <v>#VALUE!</v>
      </c>
      <c r="FO2" t="e">
        <f>AND(Sheet1!AJ7,"AAAAAB3Vn6o=")</f>
        <v>#VALUE!</v>
      </c>
      <c r="FP2" t="e">
        <f>AND(Sheet1!AK7,"AAAAAB3Vn6s=")</f>
        <v>#VALUE!</v>
      </c>
      <c r="FQ2" t="e">
        <f>AND(Sheet1!AL7,"AAAAAB3Vn6w=")</f>
        <v>#VALUE!</v>
      </c>
      <c r="FR2" t="e">
        <f>AND(Sheet1!AM7,"AAAAAB3Vn60=")</f>
        <v>#VALUE!</v>
      </c>
      <c r="FS2" t="e">
        <f>AND(Sheet1!AN7,"AAAAAB3Vn64=")</f>
        <v>#VALUE!</v>
      </c>
      <c r="FT2" t="e">
        <f>AND(Sheet1!AO7,"AAAAAB3Vn68=")</f>
        <v>#VALUE!</v>
      </c>
      <c r="FU2" t="e">
        <f>AND(Sheet1!AP7,"AAAAAB3Vn7A=")</f>
        <v>#VALUE!</v>
      </c>
      <c r="FV2" t="e">
        <f>AND(Sheet1!AQ7,"AAAAAB3Vn7E=")</f>
        <v>#VALUE!</v>
      </c>
      <c r="FW2" t="e">
        <f>AND(Sheet1!AR7,"AAAAAB3Vn7I=")</f>
        <v>#VALUE!</v>
      </c>
      <c r="FX2" t="e">
        <f>AND(Sheet1!AS7,"AAAAAB3Vn7M=")</f>
        <v>#VALUE!</v>
      </c>
      <c r="FY2" t="e">
        <f>AND(Sheet1!AT7,"AAAAAB3Vn7Q=")</f>
        <v>#VALUE!</v>
      </c>
      <c r="FZ2" t="e">
        <f>AND(Sheet1!AU7,"AAAAAB3Vn7U=")</f>
        <v>#VALUE!</v>
      </c>
      <c r="GA2" t="e">
        <f>AND(Sheet1!AV7,"AAAAAB3Vn7Y=")</f>
        <v>#VALUE!</v>
      </c>
      <c r="GB2" t="e">
        <f>AND(Sheet1!AW7,"AAAAAB3Vn7c=")</f>
        <v>#VALUE!</v>
      </c>
      <c r="GC2" t="e">
        <f>AND(Sheet1!AX7,"AAAAAB3Vn7g=")</f>
        <v>#VALUE!</v>
      </c>
      <c r="GD2" t="e">
        <f>AND(Sheet1!AY7,"AAAAAB3Vn7k=")</f>
        <v>#VALUE!</v>
      </c>
      <c r="GE2" t="e">
        <f>AND(Sheet1!AZ7,"AAAAAB3Vn7o=")</f>
        <v>#VALUE!</v>
      </c>
      <c r="GF2" t="e">
        <f>AND(Sheet1!BA7,"AAAAAB3Vn7s=")</f>
        <v>#VALUE!</v>
      </c>
      <c r="GG2" t="e">
        <f>AND(Sheet1!BB7,"AAAAAB3Vn7w=")</f>
        <v>#VALUE!</v>
      </c>
      <c r="GH2" t="e">
        <f>AND(Sheet1!BC7,"AAAAAB3Vn70=")</f>
        <v>#VALUE!</v>
      </c>
      <c r="GI2" t="e">
        <f>AND(Sheet1!BD7,"AAAAAB3Vn74=")</f>
        <v>#VALUE!</v>
      </c>
      <c r="GJ2" t="e">
        <f>AND(Sheet1!BE7,"AAAAAB3Vn78=")</f>
        <v>#VALUE!</v>
      </c>
      <c r="GK2" t="e">
        <f>AND(Sheet1!BF7,"AAAAAB3Vn8A=")</f>
        <v>#VALUE!</v>
      </c>
      <c r="GL2" t="e">
        <f>AND(Sheet1!BG7,"AAAAAB3Vn8E=")</f>
        <v>#VALUE!</v>
      </c>
      <c r="GM2" t="e">
        <f>AND(Sheet1!BH7,"AAAAAB3Vn8I=")</f>
        <v>#VALUE!</v>
      </c>
      <c r="GN2" t="e">
        <f>AND(Sheet1!BI7,"AAAAAB3Vn8M=")</f>
        <v>#VALUE!</v>
      </c>
      <c r="GO2" t="e">
        <f>AND(Sheet1!BJ7,"AAAAAB3Vn8Q=")</f>
        <v>#VALUE!</v>
      </c>
      <c r="GP2" t="e">
        <f>AND(Sheet1!BK7,"AAAAAB3Vn8U=")</f>
        <v>#VALUE!</v>
      </c>
      <c r="GQ2" t="e">
        <f>AND(Sheet1!BL7,"AAAAAB3Vn8Y=")</f>
        <v>#VALUE!</v>
      </c>
      <c r="GR2">
        <f>IF(Sheet1!8:8,"AAAAAB3Vn8c=",0)</f>
        <v>0</v>
      </c>
      <c r="GS2" t="e">
        <f>AND(Sheet1!A8,"AAAAAB3Vn8g=")</f>
        <v>#VALUE!</v>
      </c>
      <c r="GT2" t="e">
        <f>AND(Sheet1!B8,"AAAAAB3Vn8k=")</f>
        <v>#VALUE!</v>
      </c>
      <c r="GU2" t="e">
        <f>AND(Sheet1!C8,"AAAAAB3Vn8o=")</f>
        <v>#VALUE!</v>
      </c>
      <c r="GV2" t="e">
        <f>AND(Sheet1!D8,"AAAAAB3Vn8s=")</f>
        <v>#VALUE!</v>
      </c>
      <c r="GW2" t="e">
        <f>AND(Sheet1!E8,"AAAAAB3Vn8w=")</f>
        <v>#VALUE!</v>
      </c>
      <c r="GX2" t="e">
        <f>AND(Sheet1!F8,"AAAAAB3Vn80=")</f>
        <v>#VALUE!</v>
      </c>
      <c r="GY2" t="e">
        <f>AND(Sheet1!G8,"AAAAAB3Vn84=")</f>
        <v>#VALUE!</v>
      </c>
      <c r="GZ2" t="e">
        <f>AND(Sheet1!H8,"AAAAAB3Vn88=")</f>
        <v>#VALUE!</v>
      </c>
      <c r="HA2" t="e">
        <f>AND(Sheet1!I8,"AAAAAB3Vn9A=")</f>
        <v>#VALUE!</v>
      </c>
      <c r="HB2" t="e">
        <f>AND(Sheet1!J8,"AAAAAB3Vn9E=")</f>
        <v>#VALUE!</v>
      </c>
      <c r="HC2" t="e">
        <f>AND(Sheet1!K8,"AAAAAB3Vn9I=")</f>
        <v>#VALUE!</v>
      </c>
      <c r="HD2" t="e">
        <f>AND(Sheet1!L8,"AAAAAB3Vn9M=")</f>
        <v>#VALUE!</v>
      </c>
      <c r="HE2" t="e">
        <f>AND(Sheet1!M8,"AAAAAB3Vn9Q=")</f>
        <v>#VALUE!</v>
      </c>
      <c r="HF2" t="e">
        <f>AND(Sheet1!N8,"AAAAAB3Vn9U=")</f>
        <v>#VALUE!</v>
      </c>
      <c r="HG2" t="e">
        <f>AND(Sheet1!O8,"AAAAAB3Vn9Y=")</f>
        <v>#VALUE!</v>
      </c>
      <c r="HH2" t="e">
        <f>AND(Sheet1!P8,"AAAAAB3Vn9c=")</f>
        <v>#VALUE!</v>
      </c>
      <c r="HI2" t="e">
        <f>AND(Sheet1!Q8,"AAAAAB3Vn9g=")</f>
        <v>#VALUE!</v>
      </c>
      <c r="HJ2" t="e">
        <f>AND(Sheet1!R8,"AAAAAB3Vn9k=")</f>
        <v>#VALUE!</v>
      </c>
      <c r="HK2" t="e">
        <f>AND(Sheet1!S8,"AAAAAB3Vn9o=")</f>
        <v>#VALUE!</v>
      </c>
      <c r="HL2" t="e">
        <f>AND(Sheet1!T8,"AAAAAB3Vn9s=")</f>
        <v>#VALUE!</v>
      </c>
      <c r="HM2" t="e">
        <f>AND(Sheet1!U8,"AAAAAB3Vn9w=")</f>
        <v>#VALUE!</v>
      </c>
      <c r="HN2" t="e">
        <f>AND(Sheet1!V8,"AAAAAB3Vn90=")</f>
        <v>#VALUE!</v>
      </c>
      <c r="HO2" t="e">
        <f>AND(Sheet1!W8,"AAAAAB3Vn94=")</f>
        <v>#VALUE!</v>
      </c>
      <c r="HP2" t="e">
        <f>AND(Sheet1!X8,"AAAAAB3Vn98=")</f>
        <v>#VALUE!</v>
      </c>
      <c r="HQ2" t="e">
        <f>AND(Sheet1!Y8,"AAAAAB3Vn+A=")</f>
        <v>#VALUE!</v>
      </c>
      <c r="HR2" t="e">
        <f>AND(Sheet1!Z8,"AAAAAB3Vn+E=")</f>
        <v>#VALUE!</v>
      </c>
      <c r="HS2" t="e">
        <f>AND(Sheet1!AA8,"AAAAAB3Vn+I=")</f>
        <v>#VALUE!</v>
      </c>
      <c r="HT2" t="e">
        <f>AND(Sheet1!AB8,"AAAAAB3Vn+M=")</f>
        <v>#VALUE!</v>
      </c>
      <c r="HU2" t="e">
        <f>AND(Sheet1!AC8,"AAAAAB3Vn+Q=")</f>
        <v>#VALUE!</v>
      </c>
      <c r="HV2" t="e">
        <f>AND(Sheet1!AD8,"AAAAAB3Vn+U=")</f>
        <v>#VALUE!</v>
      </c>
      <c r="HW2" t="e">
        <f>AND(Sheet1!AE8,"AAAAAB3Vn+Y=")</f>
        <v>#VALUE!</v>
      </c>
      <c r="HX2" t="e">
        <f>AND(Sheet1!AF8,"AAAAAB3Vn+c=")</f>
        <v>#VALUE!</v>
      </c>
      <c r="HY2" t="e">
        <f>AND(Sheet1!AG8,"AAAAAB3Vn+g=")</f>
        <v>#VALUE!</v>
      </c>
      <c r="HZ2" t="e">
        <f>AND(Sheet1!AH8,"AAAAAB3Vn+k=")</f>
        <v>#VALUE!</v>
      </c>
      <c r="IA2" t="e">
        <f>AND(Sheet1!AI8,"AAAAAB3Vn+o=")</f>
        <v>#VALUE!</v>
      </c>
      <c r="IB2" t="e">
        <f>AND(Sheet1!AJ8,"AAAAAB3Vn+s=")</f>
        <v>#VALUE!</v>
      </c>
      <c r="IC2" t="e">
        <f>AND(Sheet1!AK8,"AAAAAB3Vn+w=")</f>
        <v>#VALUE!</v>
      </c>
      <c r="ID2" t="e">
        <f>AND(Sheet1!AL8,"AAAAAB3Vn+0=")</f>
        <v>#VALUE!</v>
      </c>
      <c r="IE2" t="e">
        <f>AND(Sheet1!AM8,"AAAAAB3Vn+4=")</f>
        <v>#VALUE!</v>
      </c>
      <c r="IF2" t="e">
        <f>AND(Sheet1!AN8,"AAAAAB3Vn+8=")</f>
        <v>#VALUE!</v>
      </c>
      <c r="IG2" t="e">
        <f>AND(Sheet1!AO8,"AAAAAB3Vn/A=")</f>
        <v>#VALUE!</v>
      </c>
      <c r="IH2" t="e">
        <f>AND(Sheet1!AP8,"AAAAAB3Vn/E=")</f>
        <v>#VALUE!</v>
      </c>
      <c r="II2" t="e">
        <f>AND(Sheet1!AQ8,"AAAAAB3Vn/I=")</f>
        <v>#VALUE!</v>
      </c>
      <c r="IJ2" t="e">
        <f>AND(Sheet1!AR8,"AAAAAB3Vn/M=")</f>
        <v>#VALUE!</v>
      </c>
      <c r="IK2" t="e">
        <f>AND(Sheet1!AS8,"AAAAAB3Vn/Q=")</f>
        <v>#VALUE!</v>
      </c>
      <c r="IL2" t="e">
        <f>AND(Sheet1!AT8,"AAAAAB3Vn/U=")</f>
        <v>#VALUE!</v>
      </c>
      <c r="IM2" t="e">
        <f>AND(Sheet1!AU8,"AAAAAB3Vn/Y=")</f>
        <v>#VALUE!</v>
      </c>
      <c r="IN2" t="e">
        <f>AND(Sheet1!AV8,"AAAAAB3Vn/c=")</f>
        <v>#VALUE!</v>
      </c>
      <c r="IO2" t="e">
        <f>AND(Sheet1!AW8,"AAAAAB3Vn/g=")</f>
        <v>#VALUE!</v>
      </c>
      <c r="IP2" t="e">
        <f>AND(Sheet1!AX8,"AAAAAB3Vn/k=")</f>
        <v>#VALUE!</v>
      </c>
      <c r="IQ2" t="e">
        <f>AND(Sheet1!AY8,"AAAAAB3Vn/o=")</f>
        <v>#VALUE!</v>
      </c>
      <c r="IR2" t="e">
        <f>AND(Sheet1!AZ8,"AAAAAB3Vn/s=")</f>
        <v>#VALUE!</v>
      </c>
      <c r="IS2" t="e">
        <f>AND(Sheet1!BA8,"AAAAAB3Vn/w=")</f>
        <v>#VALUE!</v>
      </c>
      <c r="IT2" t="e">
        <f>AND(Sheet1!BB8,"AAAAAB3Vn/0=")</f>
        <v>#VALUE!</v>
      </c>
      <c r="IU2" t="e">
        <f>AND(Sheet1!BC8,"AAAAAB3Vn/4=")</f>
        <v>#VALUE!</v>
      </c>
      <c r="IV2" t="e">
        <f>AND(Sheet1!BD8,"AAAAAB3Vn/8=")</f>
        <v>#VALUE!</v>
      </c>
    </row>
    <row r="3" spans="1:256" ht="12.75">
      <c r="A3" t="e">
        <f>AND(Sheet1!BE8,"AAAAAFv9/wA=")</f>
        <v>#VALUE!</v>
      </c>
      <c r="B3" t="e">
        <f>AND(Sheet1!BF8,"AAAAAFv9/wE=")</f>
        <v>#VALUE!</v>
      </c>
      <c r="C3" t="e">
        <f>AND(Sheet1!BG8,"AAAAAFv9/wI=")</f>
        <v>#VALUE!</v>
      </c>
      <c r="D3" t="e">
        <f>AND(Sheet1!BH8,"AAAAAFv9/wM=")</f>
        <v>#VALUE!</v>
      </c>
      <c r="E3" t="e">
        <f>AND(Sheet1!BI8,"AAAAAFv9/wQ=")</f>
        <v>#VALUE!</v>
      </c>
      <c r="F3" t="e">
        <f>AND(Sheet1!BJ8,"AAAAAFv9/wU=")</f>
        <v>#VALUE!</v>
      </c>
      <c r="G3" t="e">
        <f>AND(Sheet1!BK8,"AAAAAFv9/wY=")</f>
        <v>#VALUE!</v>
      </c>
      <c r="H3" t="e">
        <f>AND(Sheet1!BL8,"AAAAAFv9/wc=")</f>
        <v>#VALUE!</v>
      </c>
      <c r="I3">
        <f>IF(Sheet1!9:9,"AAAAAFv9/wg=",0)</f>
        <v>0</v>
      </c>
      <c r="J3" t="e">
        <f>AND(Sheet1!A9,"AAAAAFv9/wk=")</f>
        <v>#VALUE!</v>
      </c>
      <c r="K3" t="e">
        <f>AND(Sheet1!B9,"AAAAAFv9/wo=")</f>
        <v>#VALUE!</v>
      </c>
      <c r="L3" t="e">
        <f>AND(Sheet1!C9,"AAAAAFv9/ws=")</f>
        <v>#VALUE!</v>
      </c>
      <c r="M3" t="e">
        <f>AND(Sheet1!D9,"AAAAAFv9/ww=")</f>
        <v>#VALUE!</v>
      </c>
      <c r="N3" t="e">
        <f>AND(Sheet1!E9,"AAAAAFv9/w0=")</f>
        <v>#VALUE!</v>
      </c>
      <c r="O3" t="e">
        <f>AND(Sheet1!F9,"AAAAAFv9/w4=")</f>
        <v>#VALUE!</v>
      </c>
      <c r="P3" t="e">
        <f>AND(Sheet1!G9,"AAAAAFv9/w8=")</f>
        <v>#VALUE!</v>
      </c>
      <c r="Q3" t="e">
        <f>AND(Sheet1!H9,"AAAAAFv9/xA=")</f>
        <v>#VALUE!</v>
      </c>
      <c r="R3" t="e">
        <f>AND(Sheet1!I9,"AAAAAFv9/xE=")</f>
        <v>#VALUE!</v>
      </c>
      <c r="S3" t="e">
        <f>AND(Sheet1!J9,"AAAAAFv9/xI=")</f>
        <v>#VALUE!</v>
      </c>
      <c r="T3" t="e">
        <f>AND(Sheet1!K9,"AAAAAFv9/xM=")</f>
        <v>#VALUE!</v>
      </c>
      <c r="U3" t="e">
        <f>AND(Sheet1!L9,"AAAAAFv9/xQ=")</f>
        <v>#VALUE!</v>
      </c>
      <c r="V3" t="e">
        <f>AND(Sheet1!M9,"AAAAAFv9/xU=")</f>
        <v>#VALUE!</v>
      </c>
      <c r="W3" t="e">
        <f>AND(Sheet1!N9,"AAAAAFv9/xY=")</f>
        <v>#VALUE!</v>
      </c>
      <c r="X3" t="e">
        <f>AND(Sheet1!O9,"AAAAAFv9/xc=")</f>
        <v>#VALUE!</v>
      </c>
      <c r="Y3" t="e">
        <f>AND(Sheet1!P9,"AAAAAFv9/xg=")</f>
        <v>#VALUE!</v>
      </c>
      <c r="Z3" t="e">
        <f>AND(Sheet1!Q9,"AAAAAFv9/xk=")</f>
        <v>#VALUE!</v>
      </c>
      <c r="AA3" t="e">
        <f>AND(Sheet1!R9,"AAAAAFv9/xo=")</f>
        <v>#VALUE!</v>
      </c>
      <c r="AB3" t="e">
        <f>AND(Sheet1!S9,"AAAAAFv9/xs=")</f>
        <v>#VALUE!</v>
      </c>
      <c r="AC3" t="e">
        <f>AND(Sheet1!T9,"AAAAAFv9/xw=")</f>
        <v>#VALUE!</v>
      </c>
      <c r="AD3" t="e">
        <f>AND(Sheet1!U9,"AAAAAFv9/x0=")</f>
        <v>#VALUE!</v>
      </c>
      <c r="AE3" t="e">
        <f>AND(Sheet1!V9,"AAAAAFv9/x4=")</f>
        <v>#VALUE!</v>
      </c>
      <c r="AF3" t="e">
        <f>AND(Sheet1!W9,"AAAAAFv9/x8=")</f>
        <v>#VALUE!</v>
      </c>
      <c r="AG3" t="e">
        <f>AND(Sheet1!X9,"AAAAAFv9/yA=")</f>
        <v>#VALUE!</v>
      </c>
      <c r="AH3" t="e">
        <f>AND(Sheet1!Y9,"AAAAAFv9/yE=")</f>
        <v>#VALUE!</v>
      </c>
      <c r="AI3" t="e">
        <f>AND(Sheet1!Z9,"AAAAAFv9/yI=")</f>
        <v>#VALUE!</v>
      </c>
      <c r="AJ3" t="e">
        <f>AND(Sheet1!AA9,"AAAAAFv9/yM=")</f>
        <v>#VALUE!</v>
      </c>
      <c r="AK3" t="e">
        <f>AND(Sheet1!AB9,"AAAAAFv9/yQ=")</f>
        <v>#VALUE!</v>
      </c>
      <c r="AL3" t="e">
        <f>AND(Sheet1!AC9,"AAAAAFv9/yU=")</f>
        <v>#VALUE!</v>
      </c>
      <c r="AM3" t="e">
        <f>AND(Sheet1!AD9,"AAAAAFv9/yY=")</f>
        <v>#VALUE!</v>
      </c>
      <c r="AN3" t="e">
        <f>AND(Sheet1!AE9,"AAAAAFv9/yc=")</f>
        <v>#VALUE!</v>
      </c>
      <c r="AO3" t="e">
        <f>AND(Sheet1!AF9,"AAAAAFv9/yg=")</f>
        <v>#VALUE!</v>
      </c>
      <c r="AP3" t="e">
        <f>AND(Sheet1!AG9,"AAAAAFv9/yk=")</f>
        <v>#VALUE!</v>
      </c>
      <c r="AQ3" t="e">
        <f>AND(Sheet1!AH9,"AAAAAFv9/yo=")</f>
        <v>#VALUE!</v>
      </c>
      <c r="AR3" t="e">
        <f>AND(Sheet1!AI9,"AAAAAFv9/ys=")</f>
        <v>#VALUE!</v>
      </c>
      <c r="AS3" t="e">
        <f>AND(Sheet1!AJ9,"AAAAAFv9/yw=")</f>
        <v>#VALUE!</v>
      </c>
      <c r="AT3" t="e">
        <f>AND(Sheet1!AK9,"AAAAAFv9/y0=")</f>
        <v>#VALUE!</v>
      </c>
      <c r="AU3" t="e">
        <f>AND(Sheet1!AL9,"AAAAAFv9/y4=")</f>
        <v>#VALUE!</v>
      </c>
      <c r="AV3" t="e">
        <f>AND(Sheet1!AM9,"AAAAAFv9/y8=")</f>
        <v>#VALUE!</v>
      </c>
      <c r="AW3" t="e">
        <f>AND(Sheet1!AN9,"AAAAAFv9/zA=")</f>
        <v>#VALUE!</v>
      </c>
      <c r="AX3" t="e">
        <f>AND(Sheet1!AO9,"AAAAAFv9/zE=")</f>
        <v>#VALUE!</v>
      </c>
      <c r="AY3" t="e">
        <f>AND(Sheet1!AP9,"AAAAAFv9/zI=")</f>
        <v>#VALUE!</v>
      </c>
      <c r="AZ3" t="e">
        <f>AND(Sheet1!AQ9,"AAAAAFv9/zM=")</f>
        <v>#VALUE!</v>
      </c>
      <c r="BA3" t="e">
        <f>AND(Sheet1!AR9,"AAAAAFv9/zQ=")</f>
        <v>#VALUE!</v>
      </c>
      <c r="BB3" t="e">
        <f>AND(Sheet1!AS9,"AAAAAFv9/zU=")</f>
        <v>#VALUE!</v>
      </c>
      <c r="BC3" t="e">
        <f>AND(Sheet1!AT9,"AAAAAFv9/zY=")</f>
        <v>#VALUE!</v>
      </c>
      <c r="BD3" t="e">
        <f>AND(Sheet1!AU9,"AAAAAFv9/zc=")</f>
        <v>#VALUE!</v>
      </c>
      <c r="BE3" t="e">
        <f>AND(Sheet1!AV9,"AAAAAFv9/zg=")</f>
        <v>#VALUE!</v>
      </c>
      <c r="BF3" t="e">
        <f>AND(Sheet1!AW9,"AAAAAFv9/zk=")</f>
        <v>#VALUE!</v>
      </c>
      <c r="BG3" t="e">
        <f>AND(Sheet1!AX9,"AAAAAFv9/zo=")</f>
        <v>#VALUE!</v>
      </c>
      <c r="BH3" t="e">
        <f>AND(Sheet1!AY9,"AAAAAFv9/zs=")</f>
        <v>#VALUE!</v>
      </c>
      <c r="BI3" t="e">
        <f>AND(Sheet1!AZ9,"AAAAAFv9/zw=")</f>
        <v>#VALUE!</v>
      </c>
      <c r="BJ3" t="e">
        <f>AND(Sheet1!BA9,"AAAAAFv9/z0=")</f>
        <v>#VALUE!</v>
      </c>
      <c r="BK3" t="e">
        <f>AND(Sheet1!BB9,"AAAAAFv9/z4=")</f>
        <v>#VALUE!</v>
      </c>
      <c r="BL3" t="e">
        <f>AND(Sheet1!BC9,"AAAAAFv9/z8=")</f>
        <v>#VALUE!</v>
      </c>
      <c r="BM3" t="e">
        <f>AND(Sheet1!BD9,"AAAAAFv9/0A=")</f>
        <v>#VALUE!</v>
      </c>
      <c r="BN3" t="e">
        <f>AND(Sheet1!BE9,"AAAAAFv9/0E=")</f>
        <v>#VALUE!</v>
      </c>
      <c r="BO3" t="e">
        <f>AND(Sheet1!BF9,"AAAAAFv9/0I=")</f>
        <v>#VALUE!</v>
      </c>
      <c r="BP3" t="e">
        <f>AND(Sheet1!BG9,"AAAAAFv9/0M=")</f>
        <v>#VALUE!</v>
      </c>
      <c r="BQ3" t="e">
        <f>AND(Sheet1!BH9,"AAAAAFv9/0Q=")</f>
        <v>#VALUE!</v>
      </c>
      <c r="BR3" t="e">
        <f>AND(Sheet1!BI9,"AAAAAFv9/0U=")</f>
        <v>#VALUE!</v>
      </c>
      <c r="BS3" t="e">
        <f>AND(Sheet1!BJ9,"AAAAAFv9/0Y=")</f>
        <v>#VALUE!</v>
      </c>
      <c r="BT3" t="e">
        <f>AND(Sheet1!BK9,"AAAAAFv9/0c=")</f>
        <v>#VALUE!</v>
      </c>
      <c r="BU3" t="e">
        <f>AND(Sheet1!BL9,"AAAAAFv9/0g=")</f>
        <v>#VALUE!</v>
      </c>
      <c r="BV3">
        <f>IF(Sheet1!10:10,"AAAAAFv9/0k=",0)</f>
        <v>0</v>
      </c>
      <c r="BW3" t="e">
        <f>AND(Sheet1!A10,"AAAAAFv9/0o=")</f>
        <v>#VALUE!</v>
      </c>
      <c r="BX3" t="e">
        <f>AND(Sheet1!B10,"AAAAAFv9/0s=")</f>
        <v>#VALUE!</v>
      </c>
      <c r="BY3" t="e">
        <f>AND(Sheet1!C10,"AAAAAFv9/0w=")</f>
        <v>#VALUE!</v>
      </c>
      <c r="BZ3" t="e">
        <f>AND(Sheet1!D10,"AAAAAFv9/00=")</f>
        <v>#VALUE!</v>
      </c>
      <c r="CA3" t="e">
        <f>AND(Sheet1!E10,"AAAAAFv9/04=")</f>
        <v>#VALUE!</v>
      </c>
      <c r="CB3" t="e">
        <f>AND(Sheet1!F10,"AAAAAFv9/08=")</f>
        <v>#VALUE!</v>
      </c>
      <c r="CC3" t="e">
        <f>AND(Sheet1!G10,"AAAAAFv9/1A=")</f>
        <v>#VALUE!</v>
      </c>
      <c r="CD3" t="e">
        <f>AND(Sheet1!H10,"AAAAAFv9/1E=")</f>
        <v>#VALUE!</v>
      </c>
      <c r="CE3" t="e">
        <f>AND(Sheet1!I10,"AAAAAFv9/1I=")</f>
        <v>#VALUE!</v>
      </c>
      <c r="CF3" t="e">
        <f>AND(Sheet1!J10,"AAAAAFv9/1M=")</f>
        <v>#VALUE!</v>
      </c>
      <c r="CG3" t="e">
        <f>AND(Sheet1!K10,"AAAAAFv9/1Q=")</f>
        <v>#VALUE!</v>
      </c>
      <c r="CH3" t="e">
        <f>AND(Sheet1!L10,"AAAAAFv9/1U=")</f>
        <v>#VALUE!</v>
      </c>
      <c r="CI3" t="e">
        <f>AND(Sheet1!M10,"AAAAAFv9/1Y=")</f>
        <v>#VALUE!</v>
      </c>
      <c r="CJ3" t="e">
        <f>AND(Sheet1!N10,"AAAAAFv9/1c=")</f>
        <v>#VALUE!</v>
      </c>
      <c r="CK3" t="e">
        <f>AND(Sheet1!O10,"AAAAAFv9/1g=")</f>
        <v>#VALUE!</v>
      </c>
      <c r="CL3" t="e">
        <f>AND(Sheet1!P10,"AAAAAFv9/1k=")</f>
        <v>#VALUE!</v>
      </c>
      <c r="CM3" t="e">
        <f>AND(Sheet1!Q10,"AAAAAFv9/1o=")</f>
        <v>#VALUE!</v>
      </c>
      <c r="CN3" t="e">
        <f>AND(Sheet1!R10,"AAAAAFv9/1s=")</f>
        <v>#VALUE!</v>
      </c>
      <c r="CO3" t="e">
        <f>AND(Sheet1!S10,"AAAAAFv9/1w=")</f>
        <v>#VALUE!</v>
      </c>
      <c r="CP3" t="e">
        <f>AND(Sheet1!T10,"AAAAAFv9/10=")</f>
        <v>#VALUE!</v>
      </c>
      <c r="CQ3" t="e">
        <f>AND(Sheet1!U10,"AAAAAFv9/14=")</f>
        <v>#VALUE!</v>
      </c>
      <c r="CR3" t="e">
        <f>AND(Sheet1!V10,"AAAAAFv9/18=")</f>
        <v>#VALUE!</v>
      </c>
      <c r="CS3" t="e">
        <f>AND(Sheet1!W10,"AAAAAFv9/2A=")</f>
        <v>#VALUE!</v>
      </c>
      <c r="CT3" t="e">
        <f>AND(Sheet1!X10,"AAAAAFv9/2E=")</f>
        <v>#VALUE!</v>
      </c>
      <c r="CU3" t="e">
        <f>AND(Sheet1!Y10,"AAAAAFv9/2I=")</f>
        <v>#VALUE!</v>
      </c>
      <c r="CV3" t="e">
        <f>AND(Sheet1!Z10,"AAAAAFv9/2M=")</f>
        <v>#VALUE!</v>
      </c>
      <c r="CW3" t="e">
        <f>AND(Sheet1!AA10,"AAAAAFv9/2Q=")</f>
        <v>#VALUE!</v>
      </c>
      <c r="CX3" t="e">
        <f>AND(Sheet1!AB10,"AAAAAFv9/2U=")</f>
        <v>#VALUE!</v>
      </c>
      <c r="CY3" t="e">
        <f>AND(Sheet1!AC10,"AAAAAFv9/2Y=")</f>
        <v>#VALUE!</v>
      </c>
      <c r="CZ3" t="e">
        <f>AND(Sheet1!AD10,"AAAAAFv9/2c=")</f>
        <v>#VALUE!</v>
      </c>
      <c r="DA3" t="e">
        <f>AND(Sheet1!AE10,"AAAAAFv9/2g=")</f>
        <v>#VALUE!</v>
      </c>
      <c r="DB3" t="e">
        <f>AND(Sheet1!AF10,"AAAAAFv9/2k=")</f>
        <v>#VALUE!</v>
      </c>
      <c r="DC3" t="e">
        <f>AND(Sheet1!AG10,"AAAAAFv9/2o=")</f>
        <v>#VALUE!</v>
      </c>
      <c r="DD3" t="e">
        <f>AND(Sheet1!AH10,"AAAAAFv9/2s=")</f>
        <v>#VALUE!</v>
      </c>
      <c r="DE3" t="e">
        <f>AND(Sheet1!AI10,"AAAAAFv9/2w=")</f>
        <v>#VALUE!</v>
      </c>
      <c r="DF3" t="e">
        <f>AND(Sheet1!AJ10,"AAAAAFv9/20=")</f>
        <v>#VALUE!</v>
      </c>
      <c r="DG3" t="e">
        <f>AND(Sheet1!AK10,"AAAAAFv9/24=")</f>
        <v>#VALUE!</v>
      </c>
      <c r="DH3" t="e">
        <f>AND(Sheet1!AL10,"AAAAAFv9/28=")</f>
        <v>#VALUE!</v>
      </c>
      <c r="DI3" t="e">
        <f>AND(Sheet1!AM10,"AAAAAFv9/3A=")</f>
        <v>#VALUE!</v>
      </c>
      <c r="DJ3" t="e">
        <f>AND(Sheet1!AN10,"AAAAAFv9/3E=")</f>
        <v>#VALUE!</v>
      </c>
      <c r="DK3" t="e">
        <f>AND(Sheet1!AO10,"AAAAAFv9/3I=")</f>
        <v>#VALUE!</v>
      </c>
      <c r="DL3" t="e">
        <f>AND(Sheet1!AP10,"AAAAAFv9/3M=")</f>
        <v>#VALUE!</v>
      </c>
      <c r="DM3" t="e">
        <f>AND(Sheet1!AQ10,"AAAAAFv9/3Q=")</f>
        <v>#VALUE!</v>
      </c>
      <c r="DN3" t="e">
        <f>AND(Sheet1!AR10,"AAAAAFv9/3U=")</f>
        <v>#VALUE!</v>
      </c>
      <c r="DO3" t="e">
        <f>AND(Sheet1!AS10,"AAAAAFv9/3Y=")</f>
        <v>#VALUE!</v>
      </c>
      <c r="DP3" t="e">
        <f>AND(Sheet1!AT10,"AAAAAFv9/3c=")</f>
        <v>#VALUE!</v>
      </c>
      <c r="DQ3" t="e">
        <f>AND(Sheet1!AU10,"AAAAAFv9/3g=")</f>
        <v>#VALUE!</v>
      </c>
      <c r="DR3" t="e">
        <f>AND(Sheet1!AV10,"AAAAAFv9/3k=")</f>
        <v>#VALUE!</v>
      </c>
      <c r="DS3" t="e">
        <f>AND(Sheet1!AW10,"AAAAAFv9/3o=")</f>
        <v>#VALUE!</v>
      </c>
      <c r="DT3" t="e">
        <f>AND(Sheet1!AX10,"AAAAAFv9/3s=")</f>
        <v>#VALUE!</v>
      </c>
      <c r="DU3" t="e">
        <f>AND(Sheet1!AY10,"AAAAAFv9/3w=")</f>
        <v>#VALUE!</v>
      </c>
      <c r="DV3" t="e">
        <f>AND(Sheet1!AZ10,"AAAAAFv9/30=")</f>
        <v>#VALUE!</v>
      </c>
      <c r="DW3" t="e">
        <f>AND(Sheet1!BA10,"AAAAAFv9/34=")</f>
        <v>#VALUE!</v>
      </c>
      <c r="DX3" t="e">
        <f>AND(Sheet1!BB10,"AAAAAFv9/38=")</f>
        <v>#VALUE!</v>
      </c>
      <c r="DY3" t="e">
        <f>AND(Sheet1!BC10,"AAAAAFv9/4A=")</f>
        <v>#VALUE!</v>
      </c>
      <c r="DZ3" t="e">
        <f>AND(Sheet1!BD10,"AAAAAFv9/4E=")</f>
        <v>#VALUE!</v>
      </c>
      <c r="EA3" t="e">
        <f>AND(Sheet1!BE10,"AAAAAFv9/4I=")</f>
        <v>#VALUE!</v>
      </c>
      <c r="EB3" t="e">
        <f>AND(Sheet1!BF10,"AAAAAFv9/4M=")</f>
        <v>#VALUE!</v>
      </c>
      <c r="EC3" t="e">
        <f>AND(Sheet1!BG10,"AAAAAFv9/4Q=")</f>
        <v>#VALUE!</v>
      </c>
      <c r="ED3" t="e">
        <f>AND(Sheet1!BH10,"AAAAAFv9/4U=")</f>
        <v>#VALUE!</v>
      </c>
      <c r="EE3" t="e">
        <f>AND(Sheet1!BI10,"AAAAAFv9/4Y=")</f>
        <v>#VALUE!</v>
      </c>
      <c r="EF3" t="e">
        <f>AND(Sheet1!BJ10,"AAAAAFv9/4c=")</f>
        <v>#VALUE!</v>
      </c>
      <c r="EG3" t="e">
        <f>AND(Sheet1!BK10,"AAAAAFv9/4g=")</f>
        <v>#VALUE!</v>
      </c>
      <c r="EH3" t="e">
        <f>AND(Sheet1!BL10,"AAAAAFv9/4k=")</f>
        <v>#VALUE!</v>
      </c>
      <c r="EI3">
        <f>IF(Sheet1!11:11,"AAAAAFv9/4o=",0)</f>
        <v>0</v>
      </c>
      <c r="EJ3" t="e">
        <f>AND(Sheet1!A11,"AAAAAFv9/4s=")</f>
        <v>#VALUE!</v>
      </c>
      <c r="EK3" t="e">
        <f>AND(Sheet1!B11,"AAAAAFv9/4w=")</f>
        <v>#VALUE!</v>
      </c>
      <c r="EL3" t="e">
        <f>AND(Sheet1!C11,"AAAAAFv9/40=")</f>
        <v>#VALUE!</v>
      </c>
      <c r="EM3" t="e">
        <f>AND(Sheet1!D11,"AAAAAFv9/44=")</f>
        <v>#VALUE!</v>
      </c>
      <c r="EN3" t="e">
        <f>AND(Sheet1!E11,"AAAAAFv9/48=")</f>
        <v>#VALUE!</v>
      </c>
      <c r="EO3" t="e">
        <f>AND(Sheet1!F11,"AAAAAFv9/5A=")</f>
        <v>#VALUE!</v>
      </c>
      <c r="EP3" t="e">
        <f>AND(Sheet1!G11,"AAAAAFv9/5E=")</f>
        <v>#VALUE!</v>
      </c>
      <c r="EQ3" t="e">
        <f>AND(Sheet1!H11,"AAAAAFv9/5I=")</f>
        <v>#VALUE!</v>
      </c>
      <c r="ER3" t="e">
        <f>AND(Sheet1!I11,"AAAAAFv9/5M=")</f>
        <v>#VALUE!</v>
      </c>
      <c r="ES3" t="e">
        <f>AND(Sheet1!J11,"AAAAAFv9/5Q=")</f>
        <v>#VALUE!</v>
      </c>
      <c r="ET3" t="e">
        <f>AND(Sheet1!K11,"AAAAAFv9/5U=")</f>
        <v>#VALUE!</v>
      </c>
      <c r="EU3" t="e">
        <f>AND(Sheet1!L11,"AAAAAFv9/5Y=")</f>
        <v>#VALUE!</v>
      </c>
      <c r="EV3" t="e">
        <f>AND(Sheet1!M11,"AAAAAFv9/5c=")</f>
        <v>#VALUE!</v>
      </c>
      <c r="EW3" t="e">
        <f>AND(Sheet1!N11,"AAAAAFv9/5g=")</f>
        <v>#VALUE!</v>
      </c>
      <c r="EX3" t="e">
        <f>AND(Sheet1!O11,"AAAAAFv9/5k=")</f>
        <v>#VALUE!</v>
      </c>
      <c r="EY3" t="e">
        <f>AND(Sheet1!P11,"AAAAAFv9/5o=")</f>
        <v>#VALUE!</v>
      </c>
      <c r="EZ3" t="e">
        <f>AND(Sheet1!Q11,"AAAAAFv9/5s=")</f>
        <v>#VALUE!</v>
      </c>
      <c r="FA3" t="e">
        <f>AND(Sheet1!R11,"AAAAAFv9/5w=")</f>
        <v>#VALUE!</v>
      </c>
      <c r="FB3" t="e">
        <f>AND(Sheet1!S11,"AAAAAFv9/50=")</f>
        <v>#VALUE!</v>
      </c>
      <c r="FC3" t="e">
        <f>AND(Sheet1!T11,"AAAAAFv9/54=")</f>
        <v>#VALUE!</v>
      </c>
      <c r="FD3" t="e">
        <f>AND(Sheet1!U11,"AAAAAFv9/58=")</f>
        <v>#VALUE!</v>
      </c>
      <c r="FE3" t="e">
        <f>AND(Sheet1!V11,"AAAAAFv9/6A=")</f>
        <v>#VALUE!</v>
      </c>
      <c r="FF3" t="e">
        <f>AND(Sheet1!W11,"AAAAAFv9/6E=")</f>
        <v>#VALUE!</v>
      </c>
      <c r="FG3" t="e">
        <f>AND(Sheet1!X11,"AAAAAFv9/6I=")</f>
        <v>#VALUE!</v>
      </c>
      <c r="FH3" t="e">
        <f>AND(Sheet1!Y11,"AAAAAFv9/6M=")</f>
        <v>#VALUE!</v>
      </c>
      <c r="FI3" t="e">
        <f>AND(Sheet1!Z11,"AAAAAFv9/6Q=")</f>
        <v>#VALUE!</v>
      </c>
      <c r="FJ3" t="e">
        <f>AND(Sheet1!AA11,"AAAAAFv9/6U=")</f>
        <v>#VALUE!</v>
      </c>
      <c r="FK3" t="e">
        <f>AND(Sheet1!AB11,"AAAAAFv9/6Y=")</f>
        <v>#VALUE!</v>
      </c>
      <c r="FL3" t="e">
        <f>AND(Sheet1!AC11,"AAAAAFv9/6c=")</f>
        <v>#VALUE!</v>
      </c>
      <c r="FM3" t="e">
        <f>AND(Sheet1!AD11,"AAAAAFv9/6g=")</f>
        <v>#VALUE!</v>
      </c>
      <c r="FN3" t="e">
        <f>AND(Sheet1!AE11,"AAAAAFv9/6k=")</f>
        <v>#VALUE!</v>
      </c>
      <c r="FO3" t="e">
        <f>AND(Sheet1!AF11,"AAAAAFv9/6o=")</f>
        <v>#VALUE!</v>
      </c>
      <c r="FP3" t="e">
        <f>AND(Sheet1!AG11,"AAAAAFv9/6s=")</f>
        <v>#VALUE!</v>
      </c>
      <c r="FQ3" t="e">
        <f>AND(Sheet1!AH11,"AAAAAFv9/6w=")</f>
        <v>#VALUE!</v>
      </c>
      <c r="FR3" t="e">
        <f>AND(Sheet1!AI11,"AAAAAFv9/60=")</f>
        <v>#VALUE!</v>
      </c>
      <c r="FS3" t="e">
        <f>AND(Sheet1!AJ11,"AAAAAFv9/64=")</f>
        <v>#VALUE!</v>
      </c>
      <c r="FT3" t="e">
        <f>AND(Sheet1!AK11,"AAAAAFv9/68=")</f>
        <v>#VALUE!</v>
      </c>
      <c r="FU3" t="e">
        <f>AND(Sheet1!AL11,"AAAAAFv9/7A=")</f>
        <v>#VALUE!</v>
      </c>
      <c r="FV3" t="e">
        <f>AND(Sheet1!AM11,"AAAAAFv9/7E=")</f>
        <v>#VALUE!</v>
      </c>
      <c r="FW3" t="e">
        <f>AND(Sheet1!AN11,"AAAAAFv9/7I=")</f>
        <v>#VALUE!</v>
      </c>
      <c r="FX3" t="e">
        <f>AND(Sheet1!AO11,"AAAAAFv9/7M=")</f>
        <v>#VALUE!</v>
      </c>
      <c r="FY3" t="e">
        <f>AND(Sheet1!AP11,"AAAAAFv9/7Q=")</f>
        <v>#VALUE!</v>
      </c>
      <c r="FZ3" t="e">
        <f>AND(Sheet1!AQ11,"AAAAAFv9/7U=")</f>
        <v>#VALUE!</v>
      </c>
      <c r="GA3" t="e">
        <f>AND(Sheet1!AR11,"AAAAAFv9/7Y=")</f>
        <v>#VALUE!</v>
      </c>
      <c r="GB3" t="e">
        <f>AND(Sheet1!AS11,"AAAAAFv9/7c=")</f>
        <v>#VALUE!</v>
      </c>
      <c r="GC3" t="e">
        <f>AND(Sheet1!AT11,"AAAAAFv9/7g=")</f>
        <v>#VALUE!</v>
      </c>
      <c r="GD3" t="e">
        <f>AND(Sheet1!AU11,"AAAAAFv9/7k=")</f>
        <v>#VALUE!</v>
      </c>
      <c r="GE3" t="e">
        <f>AND(Sheet1!AV11,"AAAAAFv9/7o=")</f>
        <v>#VALUE!</v>
      </c>
      <c r="GF3" t="e">
        <f>AND(Sheet1!AW11,"AAAAAFv9/7s=")</f>
        <v>#VALUE!</v>
      </c>
      <c r="GG3" t="e">
        <f>AND(Sheet1!AX11,"AAAAAFv9/7w=")</f>
        <v>#VALUE!</v>
      </c>
      <c r="GH3" t="e">
        <f>AND(Sheet1!AY11,"AAAAAFv9/70=")</f>
        <v>#VALUE!</v>
      </c>
      <c r="GI3" t="e">
        <f>AND(Sheet1!AZ11,"AAAAAFv9/74=")</f>
        <v>#VALUE!</v>
      </c>
      <c r="GJ3" t="e">
        <f>AND(Sheet1!BA11,"AAAAAFv9/78=")</f>
        <v>#VALUE!</v>
      </c>
      <c r="GK3" t="e">
        <f>AND(Sheet1!BB11,"AAAAAFv9/8A=")</f>
        <v>#VALUE!</v>
      </c>
      <c r="GL3" t="e">
        <f>AND(Sheet1!BC11,"AAAAAFv9/8E=")</f>
        <v>#VALUE!</v>
      </c>
      <c r="GM3" t="e">
        <f>AND(Sheet1!BD11,"AAAAAFv9/8I=")</f>
        <v>#VALUE!</v>
      </c>
      <c r="GN3" t="e">
        <f>AND(Sheet1!BE11,"AAAAAFv9/8M=")</f>
        <v>#VALUE!</v>
      </c>
      <c r="GO3" t="e">
        <f>AND(Sheet1!BF11,"AAAAAFv9/8Q=")</f>
        <v>#VALUE!</v>
      </c>
      <c r="GP3" t="e">
        <f>AND(Sheet1!BG11,"AAAAAFv9/8U=")</f>
        <v>#VALUE!</v>
      </c>
      <c r="GQ3" t="e">
        <f>AND(Sheet1!BH11,"AAAAAFv9/8Y=")</f>
        <v>#VALUE!</v>
      </c>
      <c r="GR3" t="e">
        <f>AND(Sheet1!BI11,"AAAAAFv9/8c=")</f>
        <v>#VALUE!</v>
      </c>
      <c r="GS3" t="e">
        <f>AND(Sheet1!BJ11,"AAAAAFv9/8g=")</f>
        <v>#VALUE!</v>
      </c>
      <c r="GT3" t="e">
        <f>AND(Sheet1!BK11,"AAAAAFv9/8k=")</f>
        <v>#VALUE!</v>
      </c>
      <c r="GU3" t="e">
        <f>AND(Sheet1!BL11,"AAAAAFv9/8o=")</f>
        <v>#VALUE!</v>
      </c>
      <c r="GV3">
        <f>IF(Sheet1!12:12,"AAAAAFv9/8s=",0)</f>
        <v>0</v>
      </c>
      <c r="GW3" t="e">
        <f>AND(Sheet1!A12,"AAAAAFv9/8w=")</f>
        <v>#VALUE!</v>
      </c>
      <c r="GX3" t="e">
        <f>AND(Sheet1!B12,"AAAAAFv9/80=")</f>
        <v>#VALUE!</v>
      </c>
      <c r="GY3" t="e">
        <f>AND(Sheet1!C12,"AAAAAFv9/84=")</f>
        <v>#VALUE!</v>
      </c>
      <c r="GZ3" t="e">
        <f>AND(Sheet1!D12,"AAAAAFv9/88=")</f>
        <v>#VALUE!</v>
      </c>
      <c r="HA3" t="e">
        <f>AND(Sheet1!E12,"AAAAAFv9/9A=")</f>
        <v>#VALUE!</v>
      </c>
      <c r="HB3" t="e">
        <f>AND(Sheet1!F12,"AAAAAFv9/9E=")</f>
        <v>#VALUE!</v>
      </c>
      <c r="HC3" t="e">
        <f>AND(Sheet1!G12,"AAAAAFv9/9I=")</f>
        <v>#VALUE!</v>
      </c>
      <c r="HD3" t="e">
        <f>AND(Sheet1!H12,"AAAAAFv9/9M=")</f>
        <v>#VALUE!</v>
      </c>
      <c r="HE3" t="e">
        <f>AND(Sheet1!I12,"AAAAAFv9/9Q=")</f>
        <v>#VALUE!</v>
      </c>
      <c r="HF3" t="e">
        <f>AND(Sheet1!J12,"AAAAAFv9/9U=")</f>
        <v>#VALUE!</v>
      </c>
      <c r="HG3" t="e">
        <f>AND(Sheet1!K12,"AAAAAFv9/9Y=")</f>
        <v>#VALUE!</v>
      </c>
      <c r="HH3" t="e">
        <f>AND(Sheet1!L12,"AAAAAFv9/9c=")</f>
        <v>#VALUE!</v>
      </c>
      <c r="HI3" t="e">
        <f>AND(Sheet1!M12,"AAAAAFv9/9g=")</f>
        <v>#VALUE!</v>
      </c>
      <c r="HJ3" t="e">
        <f>AND(Sheet1!N12,"AAAAAFv9/9k=")</f>
        <v>#VALUE!</v>
      </c>
      <c r="HK3" t="e">
        <f>AND(Sheet1!O12,"AAAAAFv9/9o=")</f>
        <v>#VALUE!</v>
      </c>
      <c r="HL3" t="e">
        <f>AND(Sheet1!P12,"AAAAAFv9/9s=")</f>
        <v>#VALUE!</v>
      </c>
      <c r="HM3" t="e">
        <f>AND(Sheet1!Q12,"AAAAAFv9/9w=")</f>
        <v>#VALUE!</v>
      </c>
      <c r="HN3" t="e">
        <f>AND(Sheet1!R12,"AAAAAFv9/90=")</f>
        <v>#VALUE!</v>
      </c>
      <c r="HO3" t="e">
        <f>AND(Sheet1!S12,"AAAAAFv9/94=")</f>
        <v>#VALUE!</v>
      </c>
      <c r="HP3" t="e">
        <f>AND(Sheet1!T12,"AAAAAFv9/98=")</f>
        <v>#VALUE!</v>
      </c>
      <c r="HQ3" t="e">
        <f>AND(Sheet1!U12,"AAAAAFv9/+A=")</f>
        <v>#VALUE!</v>
      </c>
      <c r="HR3" t="e">
        <f>AND(Sheet1!V12,"AAAAAFv9/+E=")</f>
        <v>#VALUE!</v>
      </c>
      <c r="HS3" t="e">
        <f>AND(Sheet1!W12,"AAAAAFv9/+I=")</f>
        <v>#VALUE!</v>
      </c>
      <c r="HT3" t="e">
        <f>AND(Sheet1!X12,"AAAAAFv9/+M=")</f>
        <v>#VALUE!</v>
      </c>
      <c r="HU3" t="e">
        <f>AND(Sheet1!Y12,"AAAAAFv9/+Q=")</f>
        <v>#VALUE!</v>
      </c>
      <c r="HV3" t="e">
        <f>AND(Sheet1!Z12,"AAAAAFv9/+U=")</f>
        <v>#VALUE!</v>
      </c>
      <c r="HW3" t="e">
        <f>AND(Sheet1!AA12,"AAAAAFv9/+Y=")</f>
        <v>#VALUE!</v>
      </c>
      <c r="HX3" t="e">
        <f>AND(Sheet1!AB12,"AAAAAFv9/+c=")</f>
        <v>#VALUE!</v>
      </c>
      <c r="HY3" t="e">
        <f>AND(Sheet1!AC12,"AAAAAFv9/+g=")</f>
        <v>#VALUE!</v>
      </c>
      <c r="HZ3" t="e">
        <f>AND(Sheet1!AD12,"AAAAAFv9/+k=")</f>
        <v>#VALUE!</v>
      </c>
      <c r="IA3" t="e">
        <f>AND(Sheet1!AE12,"AAAAAFv9/+o=")</f>
        <v>#VALUE!</v>
      </c>
      <c r="IB3" t="e">
        <f>AND(Sheet1!AF12,"AAAAAFv9/+s=")</f>
        <v>#VALUE!</v>
      </c>
      <c r="IC3" t="e">
        <f>AND(Sheet1!AG12,"AAAAAFv9/+w=")</f>
        <v>#VALUE!</v>
      </c>
      <c r="ID3" t="e">
        <f>AND(Sheet1!AH12,"AAAAAFv9/+0=")</f>
        <v>#VALUE!</v>
      </c>
      <c r="IE3" t="e">
        <f>AND(Sheet1!AI12,"AAAAAFv9/+4=")</f>
        <v>#VALUE!</v>
      </c>
      <c r="IF3" t="e">
        <f>AND(Sheet1!AJ12,"AAAAAFv9/+8=")</f>
        <v>#VALUE!</v>
      </c>
      <c r="IG3" t="e">
        <f>AND(Sheet1!AK12,"AAAAAFv9//A=")</f>
        <v>#VALUE!</v>
      </c>
      <c r="IH3" t="e">
        <f>AND(Sheet1!AL12,"AAAAAFv9//E=")</f>
        <v>#VALUE!</v>
      </c>
      <c r="II3" t="e">
        <f>AND(Sheet1!AM12,"AAAAAFv9//I=")</f>
        <v>#VALUE!</v>
      </c>
      <c r="IJ3" t="e">
        <f>AND(Sheet1!AN12,"AAAAAFv9//M=")</f>
        <v>#VALUE!</v>
      </c>
      <c r="IK3" t="e">
        <f>AND(Sheet1!AO12,"AAAAAFv9//Q=")</f>
        <v>#VALUE!</v>
      </c>
      <c r="IL3" t="e">
        <f>AND(Sheet1!AP12,"AAAAAFv9//U=")</f>
        <v>#VALUE!</v>
      </c>
      <c r="IM3" t="e">
        <f>AND(Sheet1!AQ12,"AAAAAFv9//Y=")</f>
        <v>#VALUE!</v>
      </c>
      <c r="IN3" t="e">
        <f>AND(Sheet1!AR12,"AAAAAFv9//c=")</f>
        <v>#VALUE!</v>
      </c>
      <c r="IO3" t="e">
        <f>AND(Sheet1!AS12,"AAAAAFv9//g=")</f>
        <v>#VALUE!</v>
      </c>
      <c r="IP3" t="e">
        <f>AND(Sheet1!AT12,"AAAAAFv9//k=")</f>
        <v>#VALUE!</v>
      </c>
      <c r="IQ3" t="e">
        <f>AND(Sheet1!AU12,"AAAAAFv9//o=")</f>
        <v>#VALUE!</v>
      </c>
      <c r="IR3" t="e">
        <f>AND(Sheet1!AV12,"AAAAAFv9//s=")</f>
        <v>#VALUE!</v>
      </c>
      <c r="IS3" t="e">
        <f>AND(Sheet1!AW12,"AAAAAFv9//w=")</f>
        <v>#VALUE!</v>
      </c>
      <c r="IT3" t="e">
        <f>AND(Sheet1!AX12,"AAAAAFv9//0=")</f>
        <v>#VALUE!</v>
      </c>
      <c r="IU3" t="e">
        <f>AND(Sheet1!AY12,"AAAAAFv9//4=")</f>
        <v>#VALUE!</v>
      </c>
      <c r="IV3" t="e">
        <f>AND(Sheet1!AZ12,"AAAAAFv9//8=")</f>
        <v>#VALUE!</v>
      </c>
    </row>
    <row r="4" spans="1:256" ht="12.75">
      <c r="A4" t="e">
        <f>AND(Sheet1!BA12,"AAAAAEdfxwA=")</f>
        <v>#VALUE!</v>
      </c>
      <c r="B4" t="e">
        <f>AND(Sheet1!BB12,"AAAAAEdfxwE=")</f>
        <v>#VALUE!</v>
      </c>
      <c r="C4" t="e">
        <f>AND(Sheet1!BC12,"AAAAAEdfxwI=")</f>
        <v>#VALUE!</v>
      </c>
      <c r="D4" t="e">
        <f>AND(Sheet1!BD12,"AAAAAEdfxwM=")</f>
        <v>#VALUE!</v>
      </c>
      <c r="E4" t="e">
        <f>AND(Sheet1!BE12,"AAAAAEdfxwQ=")</f>
        <v>#VALUE!</v>
      </c>
      <c r="F4" t="e">
        <f>AND(Sheet1!BF12,"AAAAAEdfxwU=")</f>
        <v>#VALUE!</v>
      </c>
      <c r="G4" t="e">
        <f>AND(Sheet1!BG12,"AAAAAEdfxwY=")</f>
        <v>#VALUE!</v>
      </c>
      <c r="H4" t="e">
        <f>AND(Sheet1!BH12,"AAAAAEdfxwc=")</f>
        <v>#VALUE!</v>
      </c>
      <c r="I4" t="e">
        <f>AND(Sheet1!BI12,"AAAAAEdfxwg=")</f>
        <v>#VALUE!</v>
      </c>
      <c r="J4" t="e">
        <f>AND(Sheet1!BJ12,"AAAAAEdfxwk=")</f>
        <v>#VALUE!</v>
      </c>
      <c r="K4" t="e">
        <f>AND(Sheet1!BK12,"AAAAAEdfxwo=")</f>
        <v>#VALUE!</v>
      </c>
      <c r="L4" t="e">
        <f>AND(Sheet1!BL12,"AAAAAEdfxws=")</f>
        <v>#VALUE!</v>
      </c>
      <c r="M4">
        <f>IF(Sheet1!13:13,"AAAAAEdfxww=",0)</f>
        <v>0</v>
      </c>
      <c r="N4" t="e">
        <f>AND(Sheet1!A13,"AAAAAEdfxw0=")</f>
        <v>#VALUE!</v>
      </c>
      <c r="O4" t="e">
        <f>AND(Sheet1!B13,"AAAAAEdfxw4=")</f>
        <v>#VALUE!</v>
      </c>
      <c r="P4" t="e">
        <f>AND(Sheet1!C13,"AAAAAEdfxw8=")</f>
        <v>#VALUE!</v>
      </c>
      <c r="Q4" t="e">
        <f>AND(Sheet1!D13,"AAAAAEdfxxA=")</f>
        <v>#VALUE!</v>
      </c>
      <c r="R4" t="e">
        <f>AND(Sheet1!E13,"AAAAAEdfxxE=")</f>
        <v>#VALUE!</v>
      </c>
      <c r="S4" t="e">
        <f>AND(Sheet1!F13,"AAAAAEdfxxI=")</f>
        <v>#VALUE!</v>
      </c>
      <c r="T4" t="e">
        <f>AND(Sheet1!G13,"AAAAAEdfxxM=")</f>
        <v>#VALUE!</v>
      </c>
      <c r="U4" t="e">
        <f>AND(Sheet1!H13,"AAAAAEdfxxQ=")</f>
        <v>#VALUE!</v>
      </c>
      <c r="V4" t="e">
        <f>AND(Sheet1!I13,"AAAAAEdfxxU=")</f>
        <v>#VALUE!</v>
      </c>
      <c r="W4" t="e">
        <f>AND(Sheet1!J13,"AAAAAEdfxxY=")</f>
        <v>#VALUE!</v>
      </c>
      <c r="X4" t="e">
        <f>AND(Sheet1!K13,"AAAAAEdfxxc=")</f>
        <v>#VALUE!</v>
      </c>
      <c r="Y4" t="e">
        <f>AND(Sheet1!L13,"AAAAAEdfxxg=")</f>
        <v>#VALUE!</v>
      </c>
      <c r="Z4" t="e">
        <f>AND(Sheet1!M13,"AAAAAEdfxxk=")</f>
        <v>#VALUE!</v>
      </c>
      <c r="AA4" t="e">
        <f>AND(Sheet1!N13,"AAAAAEdfxxo=")</f>
        <v>#VALUE!</v>
      </c>
      <c r="AB4" t="e">
        <f>AND(Sheet1!O13,"AAAAAEdfxxs=")</f>
        <v>#VALUE!</v>
      </c>
      <c r="AC4" t="e">
        <f>AND(Sheet1!P13,"AAAAAEdfxxw=")</f>
        <v>#VALUE!</v>
      </c>
      <c r="AD4" t="e">
        <f>AND(Sheet1!Q13,"AAAAAEdfxx0=")</f>
        <v>#VALUE!</v>
      </c>
      <c r="AE4" t="e">
        <f>AND(Sheet1!R13,"AAAAAEdfxx4=")</f>
        <v>#VALUE!</v>
      </c>
      <c r="AF4" t="e">
        <f>AND(Sheet1!S13,"AAAAAEdfxx8=")</f>
        <v>#VALUE!</v>
      </c>
      <c r="AG4" t="e">
        <f>AND(Sheet1!T13,"AAAAAEdfxyA=")</f>
        <v>#VALUE!</v>
      </c>
      <c r="AH4" t="e">
        <f>AND(Sheet1!U13,"AAAAAEdfxyE=")</f>
        <v>#VALUE!</v>
      </c>
      <c r="AI4" t="e">
        <f>AND(Sheet1!V13,"AAAAAEdfxyI=")</f>
        <v>#VALUE!</v>
      </c>
      <c r="AJ4" t="e">
        <f>AND(Sheet1!W13,"AAAAAEdfxyM=")</f>
        <v>#VALUE!</v>
      </c>
      <c r="AK4" t="e">
        <f>AND(Sheet1!X13,"AAAAAEdfxyQ=")</f>
        <v>#VALUE!</v>
      </c>
      <c r="AL4" t="e">
        <f>AND(Sheet1!Y13,"AAAAAEdfxyU=")</f>
        <v>#VALUE!</v>
      </c>
      <c r="AM4" t="e">
        <f>AND(Sheet1!Z13,"AAAAAEdfxyY=")</f>
        <v>#VALUE!</v>
      </c>
      <c r="AN4" t="e">
        <f>AND(Sheet1!AA13,"AAAAAEdfxyc=")</f>
        <v>#VALUE!</v>
      </c>
      <c r="AO4" t="e">
        <f>AND(Sheet1!AB13,"AAAAAEdfxyg=")</f>
        <v>#VALUE!</v>
      </c>
      <c r="AP4" t="e">
        <f>AND(Sheet1!AC13,"AAAAAEdfxyk=")</f>
        <v>#VALUE!</v>
      </c>
      <c r="AQ4" t="e">
        <f>AND(Sheet1!AD13,"AAAAAEdfxyo=")</f>
        <v>#VALUE!</v>
      </c>
      <c r="AR4" t="e">
        <f>AND(Sheet1!AE13,"AAAAAEdfxys=")</f>
        <v>#VALUE!</v>
      </c>
      <c r="AS4" t="e">
        <f>AND(Sheet1!AF13,"AAAAAEdfxyw=")</f>
        <v>#VALUE!</v>
      </c>
      <c r="AT4" t="e">
        <f>AND(Sheet1!AG13,"AAAAAEdfxy0=")</f>
        <v>#VALUE!</v>
      </c>
      <c r="AU4" t="e">
        <f>AND(Sheet1!AH13,"AAAAAEdfxy4=")</f>
        <v>#VALUE!</v>
      </c>
      <c r="AV4" t="e">
        <f>AND(Sheet1!AI13,"AAAAAEdfxy8=")</f>
        <v>#VALUE!</v>
      </c>
      <c r="AW4" t="e">
        <f>AND(Sheet1!AJ13,"AAAAAEdfxzA=")</f>
        <v>#VALUE!</v>
      </c>
      <c r="AX4" t="e">
        <f>AND(Sheet1!AK13,"AAAAAEdfxzE=")</f>
        <v>#VALUE!</v>
      </c>
      <c r="AY4" t="e">
        <f>AND(Sheet1!AL13,"AAAAAEdfxzI=")</f>
        <v>#VALUE!</v>
      </c>
      <c r="AZ4" t="e">
        <f>AND(Sheet1!AM13,"AAAAAEdfxzM=")</f>
        <v>#VALUE!</v>
      </c>
      <c r="BA4" t="e">
        <f>AND(Sheet1!AN13,"AAAAAEdfxzQ=")</f>
        <v>#VALUE!</v>
      </c>
      <c r="BB4" t="e">
        <f>AND(Sheet1!AO13,"AAAAAEdfxzU=")</f>
        <v>#VALUE!</v>
      </c>
      <c r="BC4" t="e">
        <f>AND(Sheet1!AP13,"AAAAAEdfxzY=")</f>
        <v>#VALUE!</v>
      </c>
      <c r="BD4" t="e">
        <f>AND(Sheet1!AQ13,"AAAAAEdfxzc=")</f>
        <v>#VALUE!</v>
      </c>
      <c r="BE4" t="e">
        <f>AND(Sheet1!AR13,"AAAAAEdfxzg=")</f>
        <v>#VALUE!</v>
      </c>
      <c r="BF4" t="e">
        <f>AND(Sheet1!AS13,"AAAAAEdfxzk=")</f>
        <v>#VALUE!</v>
      </c>
      <c r="BG4" t="e">
        <f>AND(Sheet1!AT13,"AAAAAEdfxzo=")</f>
        <v>#VALUE!</v>
      </c>
      <c r="BH4" t="e">
        <f>AND(Sheet1!AU13,"AAAAAEdfxzs=")</f>
        <v>#VALUE!</v>
      </c>
      <c r="BI4" t="e">
        <f>AND(Sheet1!AV13,"AAAAAEdfxzw=")</f>
        <v>#VALUE!</v>
      </c>
      <c r="BJ4" t="e">
        <f>AND(Sheet1!AW13,"AAAAAEdfxz0=")</f>
        <v>#VALUE!</v>
      </c>
      <c r="BK4" t="e">
        <f>AND(Sheet1!AX13,"AAAAAEdfxz4=")</f>
        <v>#VALUE!</v>
      </c>
      <c r="BL4" t="e">
        <f>AND(Sheet1!AY13,"AAAAAEdfxz8=")</f>
        <v>#VALUE!</v>
      </c>
      <c r="BM4" t="e">
        <f>AND(Sheet1!AZ13,"AAAAAEdfx0A=")</f>
        <v>#VALUE!</v>
      </c>
      <c r="BN4" t="e">
        <f>AND(Sheet1!BA13,"AAAAAEdfx0E=")</f>
        <v>#VALUE!</v>
      </c>
      <c r="BO4" t="e">
        <f>AND(Sheet1!BB13,"AAAAAEdfx0I=")</f>
        <v>#VALUE!</v>
      </c>
      <c r="BP4" t="e">
        <f>AND(Sheet1!BC13,"AAAAAEdfx0M=")</f>
        <v>#VALUE!</v>
      </c>
      <c r="BQ4" t="e">
        <f>AND(Sheet1!BD13,"AAAAAEdfx0Q=")</f>
        <v>#VALUE!</v>
      </c>
      <c r="BR4" t="e">
        <f>AND(Sheet1!BE13,"AAAAAEdfx0U=")</f>
        <v>#VALUE!</v>
      </c>
      <c r="BS4" t="e">
        <f>AND(Sheet1!BF13,"AAAAAEdfx0Y=")</f>
        <v>#VALUE!</v>
      </c>
      <c r="BT4" t="e">
        <f>AND(Sheet1!BG13,"AAAAAEdfx0c=")</f>
        <v>#VALUE!</v>
      </c>
      <c r="BU4" t="e">
        <f>AND(Sheet1!BH13,"AAAAAEdfx0g=")</f>
        <v>#VALUE!</v>
      </c>
      <c r="BV4" t="e">
        <f>AND(Sheet1!BI13,"AAAAAEdfx0k=")</f>
        <v>#VALUE!</v>
      </c>
      <c r="BW4" t="e">
        <f>AND(Sheet1!BJ13,"AAAAAEdfx0o=")</f>
        <v>#VALUE!</v>
      </c>
      <c r="BX4" t="e">
        <f>AND(Sheet1!BK13,"AAAAAEdfx0s=")</f>
        <v>#VALUE!</v>
      </c>
      <c r="BY4" t="e">
        <f>AND(Sheet1!BL13,"AAAAAEdfx0w=")</f>
        <v>#VALUE!</v>
      </c>
      <c r="BZ4">
        <f>IF(Sheet1!14:14,"AAAAAEdfx00=",0)</f>
        <v>0</v>
      </c>
      <c r="CA4" t="e">
        <f>AND(Sheet1!A14,"AAAAAEdfx04=")</f>
        <v>#VALUE!</v>
      </c>
      <c r="CB4" t="e">
        <f>AND(Sheet1!B14,"AAAAAEdfx08=")</f>
        <v>#VALUE!</v>
      </c>
      <c r="CC4" t="e">
        <f>AND(Sheet1!C14,"AAAAAEdfx1A=")</f>
        <v>#VALUE!</v>
      </c>
      <c r="CD4" t="e">
        <f>AND(Sheet1!D14,"AAAAAEdfx1E=")</f>
        <v>#VALUE!</v>
      </c>
      <c r="CE4" t="e">
        <f>AND(Sheet1!E14,"AAAAAEdfx1I=")</f>
        <v>#VALUE!</v>
      </c>
      <c r="CF4" t="e">
        <f>AND(Sheet1!F14,"AAAAAEdfx1M=")</f>
        <v>#VALUE!</v>
      </c>
      <c r="CG4" t="e">
        <f>AND(Sheet1!G14,"AAAAAEdfx1Q=")</f>
        <v>#VALUE!</v>
      </c>
      <c r="CH4" t="e">
        <f>AND(Sheet1!H14,"AAAAAEdfx1U=")</f>
        <v>#VALUE!</v>
      </c>
      <c r="CI4" t="e">
        <f>AND(Sheet1!I14,"AAAAAEdfx1Y=")</f>
        <v>#VALUE!</v>
      </c>
      <c r="CJ4" t="e">
        <f>AND(Sheet1!J14,"AAAAAEdfx1c=")</f>
        <v>#VALUE!</v>
      </c>
      <c r="CK4" t="e">
        <f>AND(Sheet1!K14,"AAAAAEdfx1g=")</f>
        <v>#VALUE!</v>
      </c>
      <c r="CL4" t="e">
        <f>AND(Sheet1!L14,"AAAAAEdfx1k=")</f>
        <v>#VALUE!</v>
      </c>
      <c r="CM4" t="e">
        <f>AND(Sheet1!M14,"AAAAAEdfx1o=")</f>
        <v>#VALUE!</v>
      </c>
      <c r="CN4" t="e">
        <f>AND(Sheet1!N14,"AAAAAEdfx1s=")</f>
        <v>#VALUE!</v>
      </c>
      <c r="CO4" t="e">
        <f>AND(Sheet1!O14,"AAAAAEdfx1w=")</f>
        <v>#VALUE!</v>
      </c>
      <c r="CP4" t="e">
        <f>AND(Sheet1!P14,"AAAAAEdfx10=")</f>
        <v>#VALUE!</v>
      </c>
      <c r="CQ4" t="e">
        <f>AND(Sheet1!Q14,"AAAAAEdfx14=")</f>
        <v>#VALUE!</v>
      </c>
      <c r="CR4" t="e">
        <f>AND(Sheet1!R14,"AAAAAEdfx18=")</f>
        <v>#VALUE!</v>
      </c>
      <c r="CS4" t="e">
        <f>AND(Sheet1!S14,"AAAAAEdfx2A=")</f>
        <v>#VALUE!</v>
      </c>
      <c r="CT4" t="e">
        <f>AND(Sheet1!T14,"AAAAAEdfx2E=")</f>
        <v>#VALUE!</v>
      </c>
      <c r="CU4" t="e">
        <f>AND(Sheet1!U14,"AAAAAEdfx2I=")</f>
        <v>#VALUE!</v>
      </c>
      <c r="CV4" t="e">
        <f>AND(Sheet1!V14,"AAAAAEdfx2M=")</f>
        <v>#VALUE!</v>
      </c>
      <c r="CW4" t="e">
        <f>AND(Sheet1!W14,"AAAAAEdfx2Q=")</f>
        <v>#VALUE!</v>
      </c>
      <c r="CX4" t="e">
        <f>AND(Sheet1!X14,"AAAAAEdfx2U=")</f>
        <v>#VALUE!</v>
      </c>
      <c r="CY4" t="e">
        <f>AND(Sheet1!Y14,"AAAAAEdfx2Y=")</f>
        <v>#VALUE!</v>
      </c>
      <c r="CZ4" t="e">
        <f>AND(Sheet1!Z14,"AAAAAEdfx2c=")</f>
        <v>#VALUE!</v>
      </c>
      <c r="DA4" t="e">
        <f>AND(Sheet1!AA14,"AAAAAEdfx2g=")</f>
        <v>#VALUE!</v>
      </c>
      <c r="DB4" t="e">
        <f>AND(Sheet1!AB14,"AAAAAEdfx2k=")</f>
        <v>#VALUE!</v>
      </c>
      <c r="DC4" t="e">
        <f>AND(Sheet1!AC14,"AAAAAEdfx2o=")</f>
        <v>#VALUE!</v>
      </c>
      <c r="DD4" t="e">
        <f>AND(Sheet1!AD14,"AAAAAEdfx2s=")</f>
        <v>#VALUE!</v>
      </c>
      <c r="DE4" t="e">
        <f>AND(Sheet1!AE14,"AAAAAEdfx2w=")</f>
        <v>#VALUE!</v>
      </c>
      <c r="DF4" t="e">
        <f>AND(Sheet1!AF14,"AAAAAEdfx20=")</f>
        <v>#VALUE!</v>
      </c>
      <c r="DG4" t="e">
        <f>AND(Sheet1!AG14,"AAAAAEdfx24=")</f>
        <v>#VALUE!</v>
      </c>
      <c r="DH4" t="e">
        <f>AND(Sheet1!AH14,"AAAAAEdfx28=")</f>
        <v>#VALUE!</v>
      </c>
      <c r="DI4" t="e">
        <f>AND(Sheet1!AI14,"AAAAAEdfx3A=")</f>
        <v>#VALUE!</v>
      </c>
      <c r="DJ4" t="e">
        <f>AND(Sheet1!AJ14,"AAAAAEdfx3E=")</f>
        <v>#VALUE!</v>
      </c>
      <c r="DK4" t="e">
        <f>AND(Sheet1!AK14,"AAAAAEdfx3I=")</f>
        <v>#VALUE!</v>
      </c>
      <c r="DL4" t="e">
        <f>AND(Sheet1!AL14,"AAAAAEdfx3M=")</f>
        <v>#VALUE!</v>
      </c>
      <c r="DM4" t="e">
        <f>AND(Sheet1!AM14,"AAAAAEdfx3Q=")</f>
        <v>#VALUE!</v>
      </c>
      <c r="DN4" t="e">
        <f>AND(Sheet1!AN14,"AAAAAEdfx3U=")</f>
        <v>#VALUE!</v>
      </c>
      <c r="DO4" t="e">
        <f>AND(Sheet1!AO14,"AAAAAEdfx3Y=")</f>
        <v>#VALUE!</v>
      </c>
      <c r="DP4" t="e">
        <f>AND(Sheet1!AP14,"AAAAAEdfx3c=")</f>
        <v>#VALUE!</v>
      </c>
      <c r="DQ4" t="e">
        <f>AND(Sheet1!AQ14,"AAAAAEdfx3g=")</f>
        <v>#VALUE!</v>
      </c>
      <c r="DR4" t="e">
        <f>AND(Sheet1!AR14,"AAAAAEdfx3k=")</f>
        <v>#VALUE!</v>
      </c>
      <c r="DS4" t="e">
        <f>AND(Sheet1!AS14,"AAAAAEdfx3o=")</f>
        <v>#VALUE!</v>
      </c>
      <c r="DT4" t="e">
        <f>AND(Sheet1!AT14,"AAAAAEdfx3s=")</f>
        <v>#VALUE!</v>
      </c>
      <c r="DU4" t="e">
        <f>AND(Sheet1!AU14,"AAAAAEdfx3w=")</f>
        <v>#VALUE!</v>
      </c>
      <c r="DV4" t="e">
        <f>AND(Sheet1!AV14,"AAAAAEdfx30=")</f>
        <v>#VALUE!</v>
      </c>
      <c r="DW4" t="e">
        <f>AND(Sheet1!AW14,"AAAAAEdfx34=")</f>
        <v>#VALUE!</v>
      </c>
      <c r="DX4" t="e">
        <f>AND(Sheet1!AX14,"AAAAAEdfx38=")</f>
        <v>#VALUE!</v>
      </c>
      <c r="DY4" t="e">
        <f>AND(Sheet1!AY14,"AAAAAEdfx4A=")</f>
        <v>#VALUE!</v>
      </c>
      <c r="DZ4" t="e">
        <f>AND(Sheet1!AZ14,"AAAAAEdfx4E=")</f>
        <v>#VALUE!</v>
      </c>
      <c r="EA4" t="e">
        <f>AND(Sheet1!BA14,"AAAAAEdfx4I=")</f>
        <v>#VALUE!</v>
      </c>
      <c r="EB4" t="e">
        <f>AND(Sheet1!BB14,"AAAAAEdfx4M=")</f>
        <v>#VALUE!</v>
      </c>
      <c r="EC4" t="e">
        <f>AND(Sheet1!BC14,"AAAAAEdfx4Q=")</f>
        <v>#VALUE!</v>
      </c>
      <c r="ED4" t="e">
        <f>AND(Sheet1!BD14,"AAAAAEdfx4U=")</f>
        <v>#VALUE!</v>
      </c>
      <c r="EE4" t="e">
        <f>AND(Sheet1!BE14,"AAAAAEdfx4Y=")</f>
        <v>#VALUE!</v>
      </c>
      <c r="EF4" t="e">
        <f>AND(Sheet1!BF14,"AAAAAEdfx4c=")</f>
        <v>#VALUE!</v>
      </c>
      <c r="EG4" t="e">
        <f>AND(Sheet1!BG14,"AAAAAEdfx4g=")</f>
        <v>#VALUE!</v>
      </c>
      <c r="EH4" t="e">
        <f>AND(Sheet1!BH14,"AAAAAEdfx4k=")</f>
        <v>#VALUE!</v>
      </c>
      <c r="EI4" t="e">
        <f>AND(Sheet1!BI14,"AAAAAEdfx4o=")</f>
        <v>#VALUE!</v>
      </c>
      <c r="EJ4" t="e">
        <f>AND(Sheet1!BJ14,"AAAAAEdfx4s=")</f>
        <v>#VALUE!</v>
      </c>
      <c r="EK4" t="e">
        <f>AND(Sheet1!BK14,"AAAAAEdfx4w=")</f>
        <v>#VALUE!</v>
      </c>
      <c r="EL4" t="e">
        <f>AND(Sheet1!BL14,"AAAAAEdfx40=")</f>
        <v>#VALUE!</v>
      </c>
      <c r="EM4">
        <f>IF(Sheet1!15:15,"AAAAAEdfx44=",0)</f>
        <v>0</v>
      </c>
      <c r="EN4" t="e">
        <f>AND(Sheet1!A15,"AAAAAEdfx48=")</f>
        <v>#VALUE!</v>
      </c>
      <c r="EO4" t="e">
        <f>AND(Sheet1!B15,"AAAAAEdfx5A=")</f>
        <v>#VALUE!</v>
      </c>
      <c r="EP4" t="e">
        <f>AND(Sheet1!C15,"AAAAAEdfx5E=")</f>
        <v>#VALUE!</v>
      </c>
      <c r="EQ4" t="e">
        <f>AND(Sheet1!D15,"AAAAAEdfx5I=")</f>
        <v>#VALUE!</v>
      </c>
      <c r="ER4" t="e">
        <f>AND(Sheet1!E15,"AAAAAEdfx5M=")</f>
        <v>#VALUE!</v>
      </c>
      <c r="ES4" t="e">
        <f>AND(Sheet1!F15,"AAAAAEdfx5Q=")</f>
        <v>#VALUE!</v>
      </c>
      <c r="ET4" t="e">
        <f>AND(Sheet1!G15,"AAAAAEdfx5U=")</f>
        <v>#VALUE!</v>
      </c>
      <c r="EU4" t="e">
        <f>AND(Sheet1!H15,"AAAAAEdfx5Y=")</f>
        <v>#VALUE!</v>
      </c>
      <c r="EV4" t="e">
        <f>AND(Sheet1!I15,"AAAAAEdfx5c=")</f>
        <v>#VALUE!</v>
      </c>
      <c r="EW4" t="e">
        <f>AND(Sheet1!J15,"AAAAAEdfx5g=")</f>
        <v>#VALUE!</v>
      </c>
      <c r="EX4" t="e">
        <f>AND(Sheet1!K15,"AAAAAEdfx5k=")</f>
        <v>#VALUE!</v>
      </c>
      <c r="EY4" t="e">
        <f>AND(Sheet1!L15,"AAAAAEdfx5o=")</f>
        <v>#VALUE!</v>
      </c>
      <c r="EZ4" t="e">
        <f>AND(Sheet1!M15,"AAAAAEdfx5s=")</f>
        <v>#VALUE!</v>
      </c>
      <c r="FA4" t="e">
        <f>AND(Sheet1!N15,"AAAAAEdfx5w=")</f>
        <v>#VALUE!</v>
      </c>
      <c r="FB4" t="e">
        <f>AND(Sheet1!O15,"AAAAAEdfx50=")</f>
        <v>#VALUE!</v>
      </c>
      <c r="FC4" t="e">
        <f>AND(Sheet1!P15,"AAAAAEdfx54=")</f>
        <v>#VALUE!</v>
      </c>
      <c r="FD4" t="e">
        <f>AND(Sheet1!Q15,"AAAAAEdfx58=")</f>
        <v>#VALUE!</v>
      </c>
      <c r="FE4" t="e">
        <f>AND(Sheet1!R15,"AAAAAEdfx6A=")</f>
        <v>#VALUE!</v>
      </c>
      <c r="FF4" t="e">
        <f>AND(Sheet1!S15,"AAAAAEdfx6E=")</f>
        <v>#VALUE!</v>
      </c>
      <c r="FG4" t="e">
        <f>AND(Sheet1!T15,"AAAAAEdfx6I=")</f>
        <v>#VALUE!</v>
      </c>
      <c r="FH4" t="e">
        <f>AND(Sheet1!U15,"AAAAAEdfx6M=")</f>
        <v>#VALUE!</v>
      </c>
      <c r="FI4" t="e">
        <f>AND(Sheet1!V15,"AAAAAEdfx6Q=")</f>
        <v>#VALUE!</v>
      </c>
      <c r="FJ4" t="e">
        <f>AND(Sheet1!W15,"AAAAAEdfx6U=")</f>
        <v>#VALUE!</v>
      </c>
      <c r="FK4" t="e">
        <f>AND(Sheet1!X15,"AAAAAEdfx6Y=")</f>
        <v>#VALUE!</v>
      </c>
      <c r="FL4" t="e">
        <f>AND(Sheet1!Y15,"AAAAAEdfx6c=")</f>
        <v>#VALUE!</v>
      </c>
      <c r="FM4" t="e">
        <f>AND(Sheet1!Z15,"AAAAAEdfx6g=")</f>
        <v>#VALUE!</v>
      </c>
      <c r="FN4" t="e">
        <f>AND(Sheet1!AA15,"AAAAAEdfx6k=")</f>
        <v>#VALUE!</v>
      </c>
      <c r="FO4" t="e">
        <f>AND(Sheet1!AB15,"AAAAAEdfx6o=")</f>
        <v>#VALUE!</v>
      </c>
      <c r="FP4" t="e">
        <f>AND(Sheet1!AC15,"AAAAAEdfx6s=")</f>
        <v>#VALUE!</v>
      </c>
      <c r="FQ4" t="e">
        <f>AND(Sheet1!AD15,"AAAAAEdfx6w=")</f>
        <v>#VALUE!</v>
      </c>
      <c r="FR4" t="e">
        <f>AND(Sheet1!AE15,"AAAAAEdfx60=")</f>
        <v>#VALUE!</v>
      </c>
      <c r="FS4" t="e">
        <f>AND(Sheet1!AF15,"AAAAAEdfx64=")</f>
        <v>#VALUE!</v>
      </c>
      <c r="FT4" t="e">
        <f>AND(Sheet1!AG15,"AAAAAEdfx68=")</f>
        <v>#VALUE!</v>
      </c>
      <c r="FU4" t="e">
        <f>AND(Sheet1!AH15,"AAAAAEdfx7A=")</f>
        <v>#VALUE!</v>
      </c>
      <c r="FV4" t="e">
        <f>AND(Sheet1!AI15,"AAAAAEdfx7E=")</f>
        <v>#VALUE!</v>
      </c>
      <c r="FW4" t="e">
        <f>AND(Sheet1!AJ15,"AAAAAEdfx7I=")</f>
        <v>#VALUE!</v>
      </c>
      <c r="FX4" t="e">
        <f>AND(Sheet1!AK15,"AAAAAEdfx7M=")</f>
        <v>#VALUE!</v>
      </c>
      <c r="FY4" t="e">
        <f>AND(Sheet1!AL15,"AAAAAEdfx7Q=")</f>
        <v>#VALUE!</v>
      </c>
      <c r="FZ4" t="e">
        <f>AND(Sheet1!AM15,"AAAAAEdfx7U=")</f>
        <v>#VALUE!</v>
      </c>
      <c r="GA4" t="e">
        <f>AND(Sheet1!AN15,"AAAAAEdfx7Y=")</f>
        <v>#VALUE!</v>
      </c>
      <c r="GB4" t="e">
        <f>AND(Sheet1!AO15,"AAAAAEdfx7c=")</f>
        <v>#VALUE!</v>
      </c>
      <c r="GC4" t="e">
        <f>AND(Sheet1!AP15,"AAAAAEdfx7g=")</f>
        <v>#VALUE!</v>
      </c>
      <c r="GD4" t="e">
        <f>AND(Sheet1!AQ15,"AAAAAEdfx7k=")</f>
        <v>#VALUE!</v>
      </c>
      <c r="GE4" t="e">
        <f>AND(Sheet1!AR15,"AAAAAEdfx7o=")</f>
        <v>#VALUE!</v>
      </c>
      <c r="GF4" t="e">
        <f>AND(Sheet1!AS15,"AAAAAEdfx7s=")</f>
        <v>#VALUE!</v>
      </c>
      <c r="GG4" t="e">
        <f>AND(Sheet1!AT15,"AAAAAEdfx7w=")</f>
        <v>#VALUE!</v>
      </c>
      <c r="GH4" t="e">
        <f>AND(Sheet1!AU15,"AAAAAEdfx70=")</f>
        <v>#VALUE!</v>
      </c>
      <c r="GI4" t="e">
        <f>AND(Sheet1!AV15,"AAAAAEdfx74=")</f>
        <v>#VALUE!</v>
      </c>
      <c r="GJ4" t="e">
        <f>AND(Sheet1!AW15,"AAAAAEdfx78=")</f>
        <v>#VALUE!</v>
      </c>
      <c r="GK4" t="e">
        <f>AND(Sheet1!AX15,"AAAAAEdfx8A=")</f>
        <v>#VALUE!</v>
      </c>
      <c r="GL4" t="e">
        <f>AND(Sheet1!AY15,"AAAAAEdfx8E=")</f>
        <v>#VALUE!</v>
      </c>
      <c r="GM4" t="e">
        <f>AND(Sheet1!AZ15,"AAAAAEdfx8I=")</f>
        <v>#VALUE!</v>
      </c>
      <c r="GN4" t="e">
        <f>AND(Sheet1!BA15,"AAAAAEdfx8M=")</f>
        <v>#VALUE!</v>
      </c>
      <c r="GO4" t="e">
        <f>AND(Sheet1!BB15,"AAAAAEdfx8Q=")</f>
        <v>#VALUE!</v>
      </c>
      <c r="GP4" t="e">
        <f>AND(Sheet1!BC15,"AAAAAEdfx8U=")</f>
        <v>#VALUE!</v>
      </c>
      <c r="GQ4" t="e">
        <f>AND(Sheet1!BD15,"AAAAAEdfx8Y=")</f>
        <v>#VALUE!</v>
      </c>
      <c r="GR4" t="e">
        <f>AND(Sheet1!BE15,"AAAAAEdfx8c=")</f>
        <v>#VALUE!</v>
      </c>
      <c r="GS4" t="e">
        <f>AND(Sheet1!BF15,"AAAAAEdfx8g=")</f>
        <v>#VALUE!</v>
      </c>
      <c r="GT4" t="e">
        <f>AND(Sheet1!BG15,"AAAAAEdfx8k=")</f>
        <v>#VALUE!</v>
      </c>
      <c r="GU4" t="e">
        <f>AND(Sheet1!BH15,"AAAAAEdfx8o=")</f>
        <v>#VALUE!</v>
      </c>
      <c r="GV4" t="e">
        <f>AND(Sheet1!BI15,"AAAAAEdfx8s=")</f>
        <v>#VALUE!</v>
      </c>
      <c r="GW4" t="e">
        <f>AND(Sheet1!BJ15,"AAAAAEdfx8w=")</f>
        <v>#VALUE!</v>
      </c>
      <c r="GX4" t="e">
        <f>AND(Sheet1!BK15,"AAAAAEdfx80=")</f>
        <v>#VALUE!</v>
      </c>
      <c r="GY4" t="e">
        <f>AND(Sheet1!BL15,"AAAAAEdfx84=")</f>
        <v>#VALUE!</v>
      </c>
      <c r="GZ4">
        <f>IF(Sheet1!16:16,"AAAAAEdfx88=",0)</f>
        <v>0</v>
      </c>
      <c r="HA4" t="e">
        <f>AND(Sheet1!A16,"AAAAAEdfx9A=")</f>
        <v>#VALUE!</v>
      </c>
      <c r="HB4" t="e">
        <f>AND(Sheet1!B16,"AAAAAEdfx9E=")</f>
        <v>#VALUE!</v>
      </c>
      <c r="HC4" t="e">
        <f>AND(Sheet1!C16,"AAAAAEdfx9I=")</f>
        <v>#VALUE!</v>
      </c>
      <c r="HD4" t="e">
        <f>AND(Sheet1!D16,"AAAAAEdfx9M=")</f>
        <v>#VALUE!</v>
      </c>
      <c r="HE4" t="e">
        <f>AND(Sheet1!E16,"AAAAAEdfx9Q=")</f>
        <v>#VALUE!</v>
      </c>
      <c r="HF4" t="e">
        <f>AND(Sheet1!F16,"AAAAAEdfx9U=")</f>
        <v>#VALUE!</v>
      </c>
      <c r="HG4" t="e">
        <f>AND(Sheet1!G16,"AAAAAEdfx9Y=")</f>
        <v>#VALUE!</v>
      </c>
      <c r="HH4" t="e">
        <f>AND(Sheet1!H16,"AAAAAEdfx9c=")</f>
        <v>#VALUE!</v>
      </c>
      <c r="HI4" t="e">
        <f>AND(Sheet1!I16,"AAAAAEdfx9g=")</f>
        <v>#VALUE!</v>
      </c>
      <c r="HJ4" t="e">
        <f>AND(Sheet1!J16,"AAAAAEdfx9k=")</f>
        <v>#VALUE!</v>
      </c>
      <c r="HK4" t="e">
        <f>AND(Sheet1!K16,"AAAAAEdfx9o=")</f>
        <v>#VALUE!</v>
      </c>
      <c r="HL4" t="e">
        <f>AND(Sheet1!L16,"AAAAAEdfx9s=")</f>
        <v>#VALUE!</v>
      </c>
      <c r="HM4" t="e">
        <f>AND(Sheet1!M16,"AAAAAEdfx9w=")</f>
        <v>#VALUE!</v>
      </c>
      <c r="HN4" t="e">
        <f>AND(Sheet1!N16,"AAAAAEdfx90=")</f>
        <v>#VALUE!</v>
      </c>
      <c r="HO4" t="e">
        <f>AND(Sheet1!O16,"AAAAAEdfx94=")</f>
        <v>#VALUE!</v>
      </c>
      <c r="HP4" t="e">
        <f>AND(Sheet1!P16,"AAAAAEdfx98=")</f>
        <v>#VALUE!</v>
      </c>
      <c r="HQ4" t="e">
        <f>AND(Sheet1!Q16,"AAAAAEdfx+A=")</f>
        <v>#VALUE!</v>
      </c>
      <c r="HR4" t="e">
        <f>AND(Sheet1!R16,"AAAAAEdfx+E=")</f>
        <v>#VALUE!</v>
      </c>
      <c r="HS4" t="e">
        <f>AND(Sheet1!S16,"AAAAAEdfx+I=")</f>
        <v>#VALUE!</v>
      </c>
      <c r="HT4" t="e">
        <f>AND(Sheet1!T16,"AAAAAEdfx+M=")</f>
        <v>#VALUE!</v>
      </c>
      <c r="HU4" t="e">
        <f>AND(Sheet1!U16,"AAAAAEdfx+Q=")</f>
        <v>#VALUE!</v>
      </c>
      <c r="HV4" t="e">
        <f>AND(Sheet1!V16,"AAAAAEdfx+U=")</f>
        <v>#VALUE!</v>
      </c>
      <c r="HW4" t="e">
        <f>AND(Sheet1!W16,"AAAAAEdfx+Y=")</f>
        <v>#VALUE!</v>
      </c>
      <c r="HX4" t="e">
        <f>AND(Sheet1!X16,"AAAAAEdfx+c=")</f>
        <v>#VALUE!</v>
      </c>
      <c r="HY4" t="e">
        <f>AND(Sheet1!Y16,"AAAAAEdfx+g=")</f>
        <v>#VALUE!</v>
      </c>
      <c r="HZ4" t="e">
        <f>AND(Sheet1!Z16,"AAAAAEdfx+k=")</f>
        <v>#VALUE!</v>
      </c>
      <c r="IA4" t="e">
        <f>AND(Sheet1!AA16,"AAAAAEdfx+o=")</f>
        <v>#VALUE!</v>
      </c>
      <c r="IB4" t="e">
        <f>AND(Sheet1!AB16,"AAAAAEdfx+s=")</f>
        <v>#VALUE!</v>
      </c>
      <c r="IC4" t="e">
        <f>AND(Sheet1!AC16,"AAAAAEdfx+w=")</f>
        <v>#VALUE!</v>
      </c>
      <c r="ID4" t="e">
        <f>AND(Sheet1!AD16,"AAAAAEdfx+0=")</f>
        <v>#VALUE!</v>
      </c>
      <c r="IE4" t="e">
        <f>AND(Sheet1!AE16,"AAAAAEdfx+4=")</f>
        <v>#VALUE!</v>
      </c>
      <c r="IF4" t="e">
        <f>AND(Sheet1!AF16,"AAAAAEdfx+8=")</f>
        <v>#VALUE!</v>
      </c>
      <c r="IG4" t="e">
        <f>AND(Sheet1!AG16,"AAAAAEdfx/A=")</f>
        <v>#VALUE!</v>
      </c>
      <c r="IH4" t="e">
        <f>AND(Sheet1!AH16,"AAAAAEdfx/E=")</f>
        <v>#VALUE!</v>
      </c>
      <c r="II4" t="e">
        <f>AND(Sheet1!AI16,"AAAAAEdfx/I=")</f>
        <v>#VALUE!</v>
      </c>
      <c r="IJ4" t="e">
        <f>AND(Sheet1!AJ16,"AAAAAEdfx/M=")</f>
        <v>#VALUE!</v>
      </c>
      <c r="IK4" t="e">
        <f>AND(Sheet1!AK16,"AAAAAEdfx/Q=")</f>
        <v>#VALUE!</v>
      </c>
      <c r="IL4" t="e">
        <f>AND(Sheet1!AL16,"AAAAAEdfx/U=")</f>
        <v>#VALUE!</v>
      </c>
      <c r="IM4" t="e">
        <f>AND(Sheet1!AM16,"AAAAAEdfx/Y=")</f>
        <v>#VALUE!</v>
      </c>
      <c r="IN4" t="e">
        <f>AND(Sheet1!AN16,"AAAAAEdfx/c=")</f>
        <v>#VALUE!</v>
      </c>
      <c r="IO4" t="e">
        <f>AND(Sheet1!AO16,"AAAAAEdfx/g=")</f>
        <v>#VALUE!</v>
      </c>
      <c r="IP4" t="e">
        <f>AND(Sheet1!AP16,"AAAAAEdfx/k=")</f>
        <v>#VALUE!</v>
      </c>
      <c r="IQ4" t="e">
        <f>AND(Sheet1!AQ16,"AAAAAEdfx/o=")</f>
        <v>#VALUE!</v>
      </c>
      <c r="IR4" t="e">
        <f>AND(Sheet1!AR16,"AAAAAEdfx/s=")</f>
        <v>#VALUE!</v>
      </c>
      <c r="IS4" t="e">
        <f>AND(Sheet1!AS16,"AAAAAEdfx/w=")</f>
        <v>#VALUE!</v>
      </c>
      <c r="IT4" t="e">
        <f>AND(Sheet1!AT16,"AAAAAEdfx/0=")</f>
        <v>#VALUE!</v>
      </c>
      <c r="IU4" t="e">
        <f>AND(Sheet1!AU16,"AAAAAEdfx/4=")</f>
        <v>#VALUE!</v>
      </c>
      <c r="IV4" t="e">
        <f>AND(Sheet1!AV16,"AAAAAEdfx/8=")</f>
        <v>#VALUE!</v>
      </c>
    </row>
    <row r="5" spans="1:256" ht="12.75">
      <c r="A5" t="e">
        <f>AND(Sheet1!AW16,"AAAAAHrf/gA=")</f>
        <v>#VALUE!</v>
      </c>
      <c r="B5" t="e">
        <f>AND(Sheet1!AX16,"AAAAAHrf/gE=")</f>
        <v>#VALUE!</v>
      </c>
      <c r="C5" t="e">
        <f>AND(Sheet1!AY16,"AAAAAHrf/gI=")</f>
        <v>#VALUE!</v>
      </c>
      <c r="D5" t="e">
        <f>AND(Sheet1!AZ16,"AAAAAHrf/gM=")</f>
        <v>#VALUE!</v>
      </c>
      <c r="E5" t="e">
        <f>AND(Sheet1!BA16,"AAAAAHrf/gQ=")</f>
        <v>#VALUE!</v>
      </c>
      <c r="F5" t="e">
        <f>AND(Sheet1!BB16,"AAAAAHrf/gU=")</f>
        <v>#VALUE!</v>
      </c>
      <c r="G5" t="e">
        <f>AND(Sheet1!BC16,"AAAAAHrf/gY=")</f>
        <v>#VALUE!</v>
      </c>
      <c r="H5" t="e">
        <f>AND(Sheet1!BD16,"AAAAAHrf/gc=")</f>
        <v>#VALUE!</v>
      </c>
      <c r="I5" t="e">
        <f>AND(Sheet1!BE16,"AAAAAHrf/gg=")</f>
        <v>#VALUE!</v>
      </c>
      <c r="J5" t="e">
        <f>AND(Sheet1!BF16,"AAAAAHrf/gk=")</f>
        <v>#VALUE!</v>
      </c>
      <c r="K5" t="e">
        <f>AND(Sheet1!BG16,"AAAAAHrf/go=")</f>
        <v>#VALUE!</v>
      </c>
      <c r="L5" t="e">
        <f>AND(Sheet1!BH16,"AAAAAHrf/gs=")</f>
        <v>#VALUE!</v>
      </c>
      <c r="M5" t="e">
        <f>AND(Sheet1!BI16,"AAAAAHrf/gw=")</f>
        <v>#VALUE!</v>
      </c>
      <c r="N5" t="e">
        <f>AND(Sheet1!BJ16,"AAAAAHrf/g0=")</f>
        <v>#VALUE!</v>
      </c>
      <c r="O5" t="e">
        <f>AND(Sheet1!BK16,"AAAAAHrf/g4=")</f>
        <v>#VALUE!</v>
      </c>
      <c r="P5" t="e">
        <f>AND(Sheet1!BL16,"AAAAAHrf/g8=")</f>
        <v>#VALUE!</v>
      </c>
      <c r="Q5">
        <f>IF(Sheet1!17:17,"AAAAAHrf/hA=",0)</f>
        <v>0</v>
      </c>
      <c r="R5" t="e">
        <f>AND(Sheet1!A17,"AAAAAHrf/hE=")</f>
        <v>#VALUE!</v>
      </c>
      <c r="S5" t="e">
        <f>AND(Sheet1!B17,"AAAAAHrf/hI=")</f>
        <v>#VALUE!</v>
      </c>
      <c r="T5" t="e">
        <f>AND(Sheet1!C17,"AAAAAHrf/hM=")</f>
        <v>#VALUE!</v>
      </c>
      <c r="U5" t="e">
        <f>AND(Sheet1!D17,"AAAAAHrf/hQ=")</f>
        <v>#VALUE!</v>
      </c>
      <c r="V5" t="e">
        <f>AND(Sheet1!E17,"AAAAAHrf/hU=")</f>
        <v>#VALUE!</v>
      </c>
      <c r="W5" t="e">
        <f>AND(Sheet1!F17,"AAAAAHrf/hY=")</f>
        <v>#VALUE!</v>
      </c>
      <c r="X5" t="e">
        <f>AND(Sheet1!G17,"AAAAAHrf/hc=")</f>
        <v>#VALUE!</v>
      </c>
      <c r="Y5" t="e">
        <f>AND(Sheet1!H17,"AAAAAHrf/hg=")</f>
        <v>#VALUE!</v>
      </c>
      <c r="Z5" t="e">
        <f>AND(Sheet1!I17,"AAAAAHrf/hk=")</f>
        <v>#VALUE!</v>
      </c>
      <c r="AA5" t="e">
        <f>AND(Sheet1!J17,"AAAAAHrf/ho=")</f>
        <v>#VALUE!</v>
      </c>
      <c r="AB5" t="e">
        <f>AND(Sheet1!K17,"AAAAAHrf/hs=")</f>
        <v>#VALUE!</v>
      </c>
      <c r="AC5" t="e">
        <f>AND(Sheet1!L17,"AAAAAHrf/hw=")</f>
        <v>#VALUE!</v>
      </c>
      <c r="AD5" t="e">
        <f>AND(Sheet1!M17,"AAAAAHrf/h0=")</f>
        <v>#VALUE!</v>
      </c>
      <c r="AE5" t="e">
        <f>AND(Sheet1!N17,"AAAAAHrf/h4=")</f>
        <v>#VALUE!</v>
      </c>
      <c r="AF5" t="e">
        <f>AND(Sheet1!O17,"AAAAAHrf/h8=")</f>
        <v>#VALUE!</v>
      </c>
      <c r="AG5" t="e">
        <f>AND(Sheet1!P17,"AAAAAHrf/iA=")</f>
        <v>#VALUE!</v>
      </c>
      <c r="AH5" t="e">
        <f>AND(Sheet1!Q17,"AAAAAHrf/iE=")</f>
        <v>#VALUE!</v>
      </c>
      <c r="AI5" t="e">
        <f>AND(Sheet1!R17,"AAAAAHrf/iI=")</f>
        <v>#VALUE!</v>
      </c>
      <c r="AJ5" t="e">
        <f>AND(Sheet1!S17,"AAAAAHrf/iM=")</f>
        <v>#VALUE!</v>
      </c>
      <c r="AK5" t="e">
        <f>AND(Sheet1!T17,"AAAAAHrf/iQ=")</f>
        <v>#VALUE!</v>
      </c>
      <c r="AL5" t="e">
        <f>AND(Sheet1!U17,"AAAAAHrf/iU=")</f>
        <v>#VALUE!</v>
      </c>
      <c r="AM5" t="e">
        <f>AND(Sheet1!V17,"AAAAAHrf/iY=")</f>
        <v>#VALUE!</v>
      </c>
      <c r="AN5" t="e">
        <f>AND(Sheet1!W17,"AAAAAHrf/ic=")</f>
        <v>#VALUE!</v>
      </c>
      <c r="AO5" t="e">
        <f>AND(Sheet1!X17,"AAAAAHrf/ig=")</f>
        <v>#VALUE!</v>
      </c>
      <c r="AP5" t="e">
        <f>AND(Sheet1!Y17,"AAAAAHrf/ik=")</f>
        <v>#VALUE!</v>
      </c>
      <c r="AQ5" t="e">
        <f>AND(Sheet1!Z17,"AAAAAHrf/io=")</f>
        <v>#VALUE!</v>
      </c>
      <c r="AR5" t="e">
        <f>AND(Sheet1!AA17,"AAAAAHrf/is=")</f>
        <v>#VALUE!</v>
      </c>
      <c r="AS5" t="e">
        <f>AND(Sheet1!AB17,"AAAAAHrf/iw=")</f>
        <v>#VALUE!</v>
      </c>
      <c r="AT5" t="e">
        <f>AND(Sheet1!AC17,"AAAAAHrf/i0=")</f>
        <v>#VALUE!</v>
      </c>
      <c r="AU5" t="e">
        <f>AND(Sheet1!AD17,"AAAAAHrf/i4=")</f>
        <v>#VALUE!</v>
      </c>
      <c r="AV5" t="e">
        <f>AND(Sheet1!AE17,"AAAAAHrf/i8=")</f>
        <v>#VALUE!</v>
      </c>
      <c r="AW5" t="e">
        <f>AND(Sheet1!AF17,"AAAAAHrf/jA=")</f>
        <v>#VALUE!</v>
      </c>
      <c r="AX5" t="e">
        <f>AND(Sheet1!AG17,"AAAAAHrf/jE=")</f>
        <v>#VALUE!</v>
      </c>
      <c r="AY5" t="e">
        <f>AND(Sheet1!AH17,"AAAAAHrf/jI=")</f>
        <v>#VALUE!</v>
      </c>
      <c r="AZ5" t="e">
        <f>AND(Sheet1!AI17,"AAAAAHrf/jM=")</f>
        <v>#VALUE!</v>
      </c>
      <c r="BA5" t="e">
        <f>AND(Sheet1!AJ17,"AAAAAHrf/jQ=")</f>
        <v>#VALUE!</v>
      </c>
      <c r="BB5" t="e">
        <f>AND(Sheet1!AK17,"AAAAAHrf/jU=")</f>
        <v>#VALUE!</v>
      </c>
      <c r="BC5" t="e">
        <f>AND(Sheet1!AL17,"AAAAAHrf/jY=")</f>
        <v>#VALUE!</v>
      </c>
      <c r="BD5" t="e">
        <f>AND(Sheet1!AM17,"AAAAAHrf/jc=")</f>
        <v>#VALUE!</v>
      </c>
      <c r="BE5" t="e">
        <f>AND(Sheet1!AN17,"AAAAAHrf/jg=")</f>
        <v>#VALUE!</v>
      </c>
      <c r="BF5" t="e">
        <f>AND(Sheet1!AO17,"AAAAAHrf/jk=")</f>
        <v>#VALUE!</v>
      </c>
      <c r="BG5" t="e">
        <f>AND(Sheet1!AP17,"AAAAAHrf/jo=")</f>
        <v>#VALUE!</v>
      </c>
      <c r="BH5" t="e">
        <f>AND(Sheet1!AQ17,"AAAAAHrf/js=")</f>
        <v>#VALUE!</v>
      </c>
      <c r="BI5" t="e">
        <f>AND(Sheet1!AR17,"AAAAAHrf/jw=")</f>
        <v>#VALUE!</v>
      </c>
      <c r="BJ5" t="e">
        <f>AND(Sheet1!AS17,"AAAAAHrf/j0=")</f>
        <v>#VALUE!</v>
      </c>
      <c r="BK5" t="e">
        <f>AND(Sheet1!AT17,"AAAAAHrf/j4=")</f>
        <v>#VALUE!</v>
      </c>
      <c r="BL5" t="e">
        <f>AND(Sheet1!AU17,"AAAAAHrf/j8=")</f>
        <v>#VALUE!</v>
      </c>
      <c r="BM5" t="e">
        <f>AND(Sheet1!AV17,"AAAAAHrf/kA=")</f>
        <v>#VALUE!</v>
      </c>
      <c r="BN5" t="e">
        <f>AND(Sheet1!AW17,"AAAAAHrf/kE=")</f>
        <v>#VALUE!</v>
      </c>
      <c r="BO5" t="e">
        <f>AND(Sheet1!AX17,"AAAAAHrf/kI=")</f>
        <v>#VALUE!</v>
      </c>
      <c r="BP5" t="e">
        <f>AND(Sheet1!AY17,"AAAAAHrf/kM=")</f>
        <v>#VALUE!</v>
      </c>
      <c r="BQ5" t="e">
        <f>AND(Sheet1!AZ17,"AAAAAHrf/kQ=")</f>
        <v>#VALUE!</v>
      </c>
      <c r="BR5" t="e">
        <f>AND(Sheet1!BA17,"AAAAAHrf/kU=")</f>
        <v>#VALUE!</v>
      </c>
      <c r="BS5" t="e">
        <f>AND(Sheet1!BB17,"AAAAAHrf/kY=")</f>
        <v>#VALUE!</v>
      </c>
      <c r="BT5" t="e">
        <f>AND(Sheet1!BC17,"AAAAAHrf/kc=")</f>
        <v>#VALUE!</v>
      </c>
      <c r="BU5" t="e">
        <f>AND(Sheet1!BD17,"AAAAAHrf/kg=")</f>
        <v>#VALUE!</v>
      </c>
      <c r="BV5" t="e">
        <f>AND(Sheet1!BE17,"AAAAAHrf/kk=")</f>
        <v>#VALUE!</v>
      </c>
      <c r="BW5" t="e">
        <f>AND(Sheet1!BF17,"AAAAAHrf/ko=")</f>
        <v>#VALUE!</v>
      </c>
      <c r="BX5" t="e">
        <f>AND(Sheet1!BG17,"AAAAAHrf/ks=")</f>
        <v>#VALUE!</v>
      </c>
      <c r="BY5" t="e">
        <f>AND(Sheet1!BH17,"AAAAAHrf/kw=")</f>
        <v>#VALUE!</v>
      </c>
      <c r="BZ5" t="e">
        <f>AND(Sheet1!BI17,"AAAAAHrf/k0=")</f>
        <v>#VALUE!</v>
      </c>
      <c r="CA5" t="e">
        <f>AND(Sheet1!BJ17,"AAAAAHrf/k4=")</f>
        <v>#VALUE!</v>
      </c>
      <c r="CB5" t="e">
        <f>AND(Sheet1!BK17,"AAAAAHrf/k8=")</f>
        <v>#VALUE!</v>
      </c>
      <c r="CC5" t="e">
        <f>AND(Sheet1!BL17,"AAAAAHrf/lA=")</f>
        <v>#VALUE!</v>
      </c>
      <c r="CD5">
        <f>IF(Sheet1!18:18,"AAAAAHrf/lE=",0)</f>
        <v>0</v>
      </c>
      <c r="CE5" t="e">
        <f>AND(Sheet1!A18,"AAAAAHrf/lI=")</f>
        <v>#VALUE!</v>
      </c>
      <c r="CF5" t="e">
        <f>AND(Sheet1!B18,"AAAAAHrf/lM=")</f>
        <v>#VALUE!</v>
      </c>
      <c r="CG5" t="e">
        <f>AND(Sheet1!C18,"AAAAAHrf/lQ=")</f>
        <v>#VALUE!</v>
      </c>
      <c r="CH5" t="e">
        <f>AND(Sheet1!D18,"AAAAAHrf/lU=")</f>
        <v>#VALUE!</v>
      </c>
      <c r="CI5" t="e">
        <f>AND(Sheet1!E18,"AAAAAHrf/lY=")</f>
        <v>#VALUE!</v>
      </c>
      <c r="CJ5" t="e">
        <f>AND(Sheet1!F18,"AAAAAHrf/lc=")</f>
        <v>#VALUE!</v>
      </c>
      <c r="CK5" t="e">
        <f>AND(Sheet1!G18,"AAAAAHrf/lg=")</f>
        <v>#VALUE!</v>
      </c>
      <c r="CL5" t="e">
        <f>AND(Sheet1!H18,"AAAAAHrf/lk=")</f>
        <v>#VALUE!</v>
      </c>
      <c r="CM5" t="e">
        <f>AND(Sheet1!I18,"AAAAAHrf/lo=")</f>
        <v>#VALUE!</v>
      </c>
      <c r="CN5" t="e">
        <f>AND(Sheet1!J18,"AAAAAHrf/ls=")</f>
        <v>#VALUE!</v>
      </c>
      <c r="CO5" t="e">
        <f>AND(Sheet1!K18,"AAAAAHrf/lw=")</f>
        <v>#VALUE!</v>
      </c>
      <c r="CP5" t="e">
        <f>AND(Sheet1!L18,"AAAAAHrf/l0=")</f>
        <v>#VALUE!</v>
      </c>
      <c r="CQ5" t="e">
        <f>AND(Sheet1!M18,"AAAAAHrf/l4=")</f>
        <v>#VALUE!</v>
      </c>
      <c r="CR5" t="e">
        <f>AND(Sheet1!N18,"AAAAAHrf/l8=")</f>
        <v>#VALUE!</v>
      </c>
      <c r="CS5" t="e">
        <f>AND(Sheet1!O18,"AAAAAHrf/mA=")</f>
        <v>#VALUE!</v>
      </c>
      <c r="CT5" t="e">
        <f>AND(Sheet1!P18,"AAAAAHrf/mE=")</f>
        <v>#VALUE!</v>
      </c>
      <c r="CU5" t="e">
        <f>AND(Sheet1!Q18,"AAAAAHrf/mI=")</f>
        <v>#VALUE!</v>
      </c>
      <c r="CV5" t="e">
        <f>AND(Sheet1!R18,"AAAAAHrf/mM=")</f>
        <v>#VALUE!</v>
      </c>
      <c r="CW5" t="e">
        <f>AND(Sheet1!S18,"AAAAAHrf/mQ=")</f>
        <v>#VALUE!</v>
      </c>
      <c r="CX5" t="e">
        <f>AND(Sheet1!T18,"AAAAAHrf/mU=")</f>
        <v>#VALUE!</v>
      </c>
      <c r="CY5" t="e">
        <f>AND(Sheet1!U18,"AAAAAHrf/mY=")</f>
        <v>#VALUE!</v>
      </c>
      <c r="CZ5" t="e">
        <f>AND(Sheet1!V18,"AAAAAHrf/mc=")</f>
        <v>#VALUE!</v>
      </c>
      <c r="DA5" t="e">
        <f>AND(Sheet1!W18,"AAAAAHrf/mg=")</f>
        <v>#VALUE!</v>
      </c>
      <c r="DB5" t="e">
        <f>AND(Sheet1!X18,"AAAAAHrf/mk=")</f>
        <v>#VALUE!</v>
      </c>
      <c r="DC5" t="e">
        <f>AND(Sheet1!Y18,"AAAAAHrf/mo=")</f>
        <v>#VALUE!</v>
      </c>
      <c r="DD5" t="e">
        <f>AND(Sheet1!Z18,"AAAAAHrf/ms=")</f>
        <v>#VALUE!</v>
      </c>
      <c r="DE5" t="e">
        <f>AND(Sheet1!AA18,"AAAAAHrf/mw=")</f>
        <v>#VALUE!</v>
      </c>
      <c r="DF5" t="e">
        <f>AND(Sheet1!AB18,"AAAAAHrf/m0=")</f>
        <v>#VALUE!</v>
      </c>
      <c r="DG5" t="e">
        <f>AND(Sheet1!AC18,"AAAAAHrf/m4=")</f>
        <v>#VALUE!</v>
      </c>
      <c r="DH5" t="e">
        <f>AND(Sheet1!AD18,"AAAAAHrf/m8=")</f>
        <v>#VALUE!</v>
      </c>
      <c r="DI5" t="e">
        <f>AND(Sheet1!AE18,"AAAAAHrf/nA=")</f>
        <v>#VALUE!</v>
      </c>
      <c r="DJ5" t="e">
        <f>AND(Sheet1!AF18,"AAAAAHrf/nE=")</f>
        <v>#VALUE!</v>
      </c>
      <c r="DK5" t="e">
        <f>AND(Sheet1!AG18,"AAAAAHrf/nI=")</f>
        <v>#VALUE!</v>
      </c>
      <c r="DL5" t="e">
        <f>AND(Sheet1!AH18,"AAAAAHrf/nM=")</f>
        <v>#VALUE!</v>
      </c>
      <c r="DM5" t="e">
        <f>AND(Sheet1!AI18,"AAAAAHrf/nQ=")</f>
        <v>#VALUE!</v>
      </c>
      <c r="DN5" t="e">
        <f>AND(Sheet1!AJ18,"AAAAAHrf/nU=")</f>
        <v>#VALUE!</v>
      </c>
      <c r="DO5" t="e">
        <f>AND(Sheet1!AK18,"AAAAAHrf/nY=")</f>
        <v>#VALUE!</v>
      </c>
      <c r="DP5" t="e">
        <f>AND(Sheet1!AL18,"AAAAAHrf/nc=")</f>
        <v>#VALUE!</v>
      </c>
      <c r="DQ5" t="e">
        <f>AND(Sheet1!AM18,"AAAAAHrf/ng=")</f>
        <v>#VALUE!</v>
      </c>
      <c r="DR5" t="e">
        <f>AND(Sheet1!AN18,"AAAAAHrf/nk=")</f>
        <v>#VALUE!</v>
      </c>
      <c r="DS5" t="e">
        <f>AND(Sheet1!AO18,"AAAAAHrf/no=")</f>
        <v>#VALUE!</v>
      </c>
      <c r="DT5" t="e">
        <f>AND(Sheet1!AP18,"AAAAAHrf/ns=")</f>
        <v>#VALUE!</v>
      </c>
      <c r="DU5" t="e">
        <f>AND(Sheet1!AQ18,"AAAAAHrf/nw=")</f>
        <v>#VALUE!</v>
      </c>
      <c r="DV5" t="e">
        <f>AND(Sheet1!AR18,"AAAAAHrf/n0=")</f>
        <v>#VALUE!</v>
      </c>
      <c r="DW5" t="e">
        <f>AND(Sheet1!AS18,"AAAAAHrf/n4=")</f>
        <v>#VALUE!</v>
      </c>
      <c r="DX5" t="e">
        <f>AND(Sheet1!AT18,"AAAAAHrf/n8=")</f>
        <v>#VALUE!</v>
      </c>
      <c r="DY5" t="e">
        <f>AND(Sheet1!AU18,"AAAAAHrf/oA=")</f>
        <v>#VALUE!</v>
      </c>
      <c r="DZ5" t="e">
        <f>AND(Sheet1!AV18,"AAAAAHrf/oE=")</f>
        <v>#VALUE!</v>
      </c>
      <c r="EA5" t="e">
        <f>AND(Sheet1!AW18,"AAAAAHrf/oI=")</f>
        <v>#VALUE!</v>
      </c>
      <c r="EB5" t="e">
        <f>AND(Sheet1!AX18,"AAAAAHrf/oM=")</f>
        <v>#VALUE!</v>
      </c>
      <c r="EC5" t="e">
        <f>AND(Sheet1!AY18,"AAAAAHrf/oQ=")</f>
        <v>#VALUE!</v>
      </c>
      <c r="ED5" t="e">
        <f>AND(Sheet1!AZ18,"AAAAAHrf/oU=")</f>
        <v>#VALUE!</v>
      </c>
      <c r="EE5" t="e">
        <f>AND(Sheet1!BA18,"AAAAAHrf/oY=")</f>
        <v>#VALUE!</v>
      </c>
      <c r="EF5" t="e">
        <f>AND(Sheet1!BB18,"AAAAAHrf/oc=")</f>
        <v>#VALUE!</v>
      </c>
      <c r="EG5" t="e">
        <f>AND(Sheet1!BC18,"AAAAAHrf/og=")</f>
        <v>#VALUE!</v>
      </c>
      <c r="EH5" t="e">
        <f>AND(Sheet1!BD18,"AAAAAHrf/ok=")</f>
        <v>#VALUE!</v>
      </c>
      <c r="EI5" t="e">
        <f>AND(Sheet1!BE18,"AAAAAHrf/oo=")</f>
        <v>#VALUE!</v>
      </c>
      <c r="EJ5" t="e">
        <f>AND(Sheet1!BF18,"AAAAAHrf/os=")</f>
        <v>#VALUE!</v>
      </c>
      <c r="EK5" t="e">
        <f>AND(Sheet1!BG18,"AAAAAHrf/ow=")</f>
        <v>#VALUE!</v>
      </c>
      <c r="EL5" t="e">
        <f>AND(Sheet1!BH18,"AAAAAHrf/o0=")</f>
        <v>#VALUE!</v>
      </c>
      <c r="EM5" t="e">
        <f>AND(Sheet1!BI18,"AAAAAHrf/o4=")</f>
        <v>#VALUE!</v>
      </c>
      <c r="EN5" t="e">
        <f>AND(Sheet1!BJ18,"AAAAAHrf/o8=")</f>
        <v>#VALUE!</v>
      </c>
      <c r="EO5" t="e">
        <f>AND(Sheet1!BK18,"AAAAAHrf/pA=")</f>
        <v>#VALUE!</v>
      </c>
      <c r="EP5" t="e">
        <f>AND(Sheet1!BL18,"AAAAAHrf/pE=")</f>
        <v>#VALUE!</v>
      </c>
      <c r="EQ5">
        <f>IF(Sheet1!19:19,"AAAAAHrf/pI=",0)</f>
        <v>0</v>
      </c>
      <c r="ER5" t="e">
        <f>AND(Sheet1!A19,"AAAAAHrf/pM=")</f>
        <v>#VALUE!</v>
      </c>
      <c r="ES5" t="e">
        <f>AND(Sheet1!B19,"AAAAAHrf/pQ=")</f>
        <v>#VALUE!</v>
      </c>
      <c r="ET5" t="e">
        <f>AND(Sheet1!C19,"AAAAAHrf/pU=")</f>
        <v>#VALUE!</v>
      </c>
      <c r="EU5" t="e">
        <f>AND(Sheet1!D19,"AAAAAHrf/pY=")</f>
        <v>#VALUE!</v>
      </c>
      <c r="EV5" t="e">
        <f>AND(Sheet1!E19,"AAAAAHrf/pc=")</f>
        <v>#VALUE!</v>
      </c>
      <c r="EW5" t="e">
        <f>AND(Sheet1!F19,"AAAAAHrf/pg=")</f>
        <v>#VALUE!</v>
      </c>
      <c r="EX5" t="e">
        <f>AND(Sheet1!G19,"AAAAAHrf/pk=")</f>
        <v>#VALUE!</v>
      </c>
      <c r="EY5" t="e">
        <f>AND(Sheet1!H19,"AAAAAHrf/po=")</f>
        <v>#VALUE!</v>
      </c>
      <c r="EZ5" t="e">
        <f>AND(Sheet1!I19,"AAAAAHrf/ps=")</f>
        <v>#VALUE!</v>
      </c>
      <c r="FA5" t="e">
        <f>AND(Sheet1!J19,"AAAAAHrf/pw=")</f>
        <v>#VALUE!</v>
      </c>
      <c r="FB5" t="e">
        <f>AND(Sheet1!K19,"AAAAAHrf/p0=")</f>
        <v>#VALUE!</v>
      </c>
      <c r="FC5" t="e">
        <f>AND(Sheet1!L19,"AAAAAHrf/p4=")</f>
        <v>#VALUE!</v>
      </c>
      <c r="FD5" t="e">
        <f>AND(Sheet1!M19,"AAAAAHrf/p8=")</f>
        <v>#VALUE!</v>
      </c>
      <c r="FE5" t="e">
        <f>AND(Sheet1!N19,"AAAAAHrf/qA=")</f>
        <v>#VALUE!</v>
      </c>
      <c r="FF5" t="e">
        <f>AND(Sheet1!O19,"AAAAAHrf/qE=")</f>
        <v>#VALUE!</v>
      </c>
      <c r="FG5" t="e">
        <f>AND(Sheet1!P19,"AAAAAHrf/qI=")</f>
        <v>#VALUE!</v>
      </c>
      <c r="FH5" t="e">
        <f>AND(Sheet1!Q19,"AAAAAHrf/qM=")</f>
        <v>#VALUE!</v>
      </c>
      <c r="FI5" t="e">
        <f>AND(Sheet1!R19,"AAAAAHrf/qQ=")</f>
        <v>#VALUE!</v>
      </c>
      <c r="FJ5" t="e">
        <f>AND(Sheet1!S19,"AAAAAHrf/qU=")</f>
        <v>#VALUE!</v>
      </c>
      <c r="FK5" t="e">
        <f>AND(Sheet1!T19,"AAAAAHrf/qY=")</f>
        <v>#VALUE!</v>
      </c>
      <c r="FL5" t="e">
        <f>AND(Sheet1!U19,"AAAAAHrf/qc=")</f>
        <v>#VALUE!</v>
      </c>
      <c r="FM5" t="e">
        <f>AND(Sheet1!V19,"AAAAAHrf/qg=")</f>
        <v>#VALUE!</v>
      </c>
      <c r="FN5" t="e">
        <f>AND(Sheet1!W19,"AAAAAHrf/qk=")</f>
        <v>#VALUE!</v>
      </c>
      <c r="FO5" t="e">
        <f>AND(Sheet1!X19,"AAAAAHrf/qo=")</f>
        <v>#VALUE!</v>
      </c>
      <c r="FP5" t="e">
        <f>AND(Sheet1!Y19,"AAAAAHrf/qs=")</f>
        <v>#VALUE!</v>
      </c>
      <c r="FQ5" t="e">
        <f>AND(Sheet1!Z19,"AAAAAHrf/qw=")</f>
        <v>#VALUE!</v>
      </c>
      <c r="FR5" t="e">
        <f>AND(Sheet1!AA19,"AAAAAHrf/q0=")</f>
        <v>#VALUE!</v>
      </c>
      <c r="FS5" t="e">
        <f>AND(Sheet1!AB19,"AAAAAHrf/q4=")</f>
        <v>#VALUE!</v>
      </c>
      <c r="FT5" t="e">
        <f>AND(Sheet1!AC19,"AAAAAHrf/q8=")</f>
        <v>#VALUE!</v>
      </c>
      <c r="FU5" t="e">
        <f>AND(Sheet1!AD19,"AAAAAHrf/rA=")</f>
        <v>#VALUE!</v>
      </c>
      <c r="FV5" t="e">
        <f>AND(Sheet1!AE19,"AAAAAHrf/rE=")</f>
        <v>#VALUE!</v>
      </c>
      <c r="FW5" t="e">
        <f>AND(Sheet1!AF19,"AAAAAHrf/rI=")</f>
        <v>#VALUE!</v>
      </c>
      <c r="FX5" t="e">
        <f>AND(Sheet1!AG19,"AAAAAHrf/rM=")</f>
        <v>#VALUE!</v>
      </c>
      <c r="FY5" t="e">
        <f>AND(Sheet1!AH19,"AAAAAHrf/rQ=")</f>
        <v>#VALUE!</v>
      </c>
      <c r="FZ5" t="e">
        <f>AND(Sheet1!AI19,"AAAAAHrf/rU=")</f>
        <v>#VALUE!</v>
      </c>
      <c r="GA5" t="e">
        <f>AND(Sheet1!AJ19,"AAAAAHrf/rY=")</f>
        <v>#VALUE!</v>
      </c>
      <c r="GB5" t="e">
        <f>AND(Sheet1!AK19,"AAAAAHrf/rc=")</f>
        <v>#VALUE!</v>
      </c>
      <c r="GC5" t="e">
        <f>AND(Sheet1!AL19,"AAAAAHrf/rg=")</f>
        <v>#VALUE!</v>
      </c>
      <c r="GD5" t="e">
        <f>AND(Sheet1!AM19,"AAAAAHrf/rk=")</f>
        <v>#VALUE!</v>
      </c>
      <c r="GE5" t="e">
        <f>AND(Sheet1!AN19,"AAAAAHrf/ro=")</f>
        <v>#VALUE!</v>
      </c>
      <c r="GF5" t="e">
        <f>AND(Sheet1!AO19,"AAAAAHrf/rs=")</f>
        <v>#VALUE!</v>
      </c>
      <c r="GG5" t="e">
        <f>AND(Sheet1!AP19,"AAAAAHrf/rw=")</f>
        <v>#VALUE!</v>
      </c>
      <c r="GH5" t="e">
        <f>AND(Sheet1!AQ19,"AAAAAHrf/r0=")</f>
        <v>#VALUE!</v>
      </c>
      <c r="GI5" t="e">
        <f>AND(Sheet1!AR19,"AAAAAHrf/r4=")</f>
        <v>#VALUE!</v>
      </c>
      <c r="GJ5" t="e">
        <f>AND(Sheet1!AS19,"AAAAAHrf/r8=")</f>
        <v>#VALUE!</v>
      </c>
      <c r="GK5" t="e">
        <f>AND(Sheet1!AT19,"AAAAAHrf/sA=")</f>
        <v>#VALUE!</v>
      </c>
      <c r="GL5" t="e">
        <f>AND(Sheet1!AU19,"AAAAAHrf/sE=")</f>
        <v>#VALUE!</v>
      </c>
      <c r="GM5" t="e">
        <f>AND(Sheet1!AV19,"AAAAAHrf/sI=")</f>
        <v>#VALUE!</v>
      </c>
      <c r="GN5" t="e">
        <f>AND(Sheet1!AW19,"AAAAAHrf/sM=")</f>
        <v>#VALUE!</v>
      </c>
      <c r="GO5" t="e">
        <f>AND(Sheet1!AX19,"AAAAAHrf/sQ=")</f>
        <v>#VALUE!</v>
      </c>
      <c r="GP5" t="e">
        <f>AND(Sheet1!AY19,"AAAAAHrf/sU=")</f>
        <v>#VALUE!</v>
      </c>
      <c r="GQ5" t="e">
        <f>AND(Sheet1!AZ19,"AAAAAHrf/sY=")</f>
        <v>#VALUE!</v>
      </c>
      <c r="GR5" t="e">
        <f>AND(Sheet1!BA19,"AAAAAHrf/sc=")</f>
        <v>#VALUE!</v>
      </c>
      <c r="GS5" t="e">
        <f>AND(Sheet1!BB19,"AAAAAHrf/sg=")</f>
        <v>#VALUE!</v>
      </c>
      <c r="GT5" t="e">
        <f>AND(Sheet1!BC19,"AAAAAHrf/sk=")</f>
        <v>#VALUE!</v>
      </c>
      <c r="GU5" t="e">
        <f>AND(Sheet1!BD19,"AAAAAHrf/so=")</f>
        <v>#VALUE!</v>
      </c>
      <c r="GV5" t="e">
        <f>AND(Sheet1!BE19,"AAAAAHrf/ss=")</f>
        <v>#VALUE!</v>
      </c>
      <c r="GW5" t="b">
        <f>AND(Sheet1!BF19,"AAAAAHrf/sw=")</f>
        <v>0</v>
      </c>
      <c r="GX5" t="e">
        <f>AND(Sheet1!BG19,"AAAAAHrf/s0=")</f>
        <v>#VALUE!</v>
      </c>
      <c r="GY5" t="e">
        <f>AND(Sheet1!BH19,"AAAAAHrf/s4=")</f>
        <v>#VALUE!</v>
      </c>
      <c r="GZ5" t="e">
        <f>AND(Sheet1!BI19,"AAAAAHrf/s8=")</f>
        <v>#VALUE!</v>
      </c>
      <c r="HA5" t="e">
        <f>AND(Sheet1!BJ19,"AAAAAHrf/tA=")</f>
        <v>#VALUE!</v>
      </c>
      <c r="HB5" t="e">
        <f>AND(Sheet1!BK19,"AAAAAHrf/tE=")</f>
        <v>#VALUE!</v>
      </c>
      <c r="HC5" t="e">
        <f>AND(Sheet1!BL19,"AAAAAHrf/tI=")</f>
        <v>#VALUE!</v>
      </c>
      <c r="HD5">
        <f>IF(Sheet1!20:20,"AAAAAHrf/tM=",0)</f>
        <v>0</v>
      </c>
      <c r="HE5" t="e">
        <f>AND(Sheet1!A20,"AAAAAHrf/tQ=")</f>
        <v>#VALUE!</v>
      </c>
      <c r="HF5" t="e">
        <f>AND(Sheet1!B20,"AAAAAHrf/tU=")</f>
        <v>#VALUE!</v>
      </c>
      <c r="HG5" t="e">
        <f>AND(Sheet1!C20,"AAAAAHrf/tY=")</f>
        <v>#VALUE!</v>
      </c>
      <c r="HH5" t="e">
        <f>AND(Sheet1!D20,"AAAAAHrf/tc=")</f>
        <v>#VALUE!</v>
      </c>
      <c r="HI5" t="e">
        <f>AND(Sheet1!E20,"AAAAAHrf/tg=")</f>
        <v>#VALUE!</v>
      </c>
      <c r="HJ5" t="e">
        <f>AND(Sheet1!F20,"AAAAAHrf/tk=")</f>
        <v>#VALUE!</v>
      </c>
      <c r="HK5" t="e">
        <f>AND(Sheet1!G20,"AAAAAHrf/to=")</f>
        <v>#VALUE!</v>
      </c>
      <c r="HL5" t="e">
        <f>AND(Sheet1!H20,"AAAAAHrf/ts=")</f>
        <v>#VALUE!</v>
      </c>
      <c r="HM5" t="e">
        <f>AND(Sheet1!I20,"AAAAAHrf/tw=")</f>
        <v>#VALUE!</v>
      </c>
      <c r="HN5" t="e">
        <f>AND(Sheet1!J20,"AAAAAHrf/t0=")</f>
        <v>#VALUE!</v>
      </c>
      <c r="HO5" t="e">
        <f>AND(Sheet1!K20,"AAAAAHrf/t4=")</f>
        <v>#VALUE!</v>
      </c>
      <c r="HP5" t="e">
        <f>AND(Sheet1!L20,"AAAAAHrf/t8=")</f>
        <v>#VALUE!</v>
      </c>
      <c r="HQ5" t="e">
        <f>AND(Sheet1!M20,"AAAAAHrf/uA=")</f>
        <v>#VALUE!</v>
      </c>
      <c r="HR5" t="e">
        <f>AND(Sheet1!N20,"AAAAAHrf/uE=")</f>
        <v>#VALUE!</v>
      </c>
      <c r="HS5" t="e">
        <f>AND(Sheet1!O20,"AAAAAHrf/uI=")</f>
        <v>#VALUE!</v>
      </c>
      <c r="HT5" t="e">
        <f>AND(Sheet1!P20,"AAAAAHrf/uM=")</f>
        <v>#VALUE!</v>
      </c>
      <c r="HU5" t="e">
        <f>AND(Sheet1!Q20,"AAAAAHrf/uQ=")</f>
        <v>#VALUE!</v>
      </c>
      <c r="HV5" t="e">
        <f>AND(Sheet1!R20,"AAAAAHrf/uU=")</f>
        <v>#VALUE!</v>
      </c>
      <c r="HW5" t="e">
        <f>AND(Sheet1!S20,"AAAAAHrf/uY=")</f>
        <v>#VALUE!</v>
      </c>
      <c r="HX5" t="e">
        <f>AND(Sheet1!T20,"AAAAAHrf/uc=")</f>
        <v>#VALUE!</v>
      </c>
      <c r="HY5" t="e">
        <f>AND(Sheet1!U20,"AAAAAHrf/ug=")</f>
        <v>#VALUE!</v>
      </c>
      <c r="HZ5" t="e">
        <f>AND(Sheet1!V20,"AAAAAHrf/uk=")</f>
        <v>#VALUE!</v>
      </c>
      <c r="IA5" t="e">
        <f>AND(Sheet1!W20,"AAAAAHrf/uo=")</f>
        <v>#VALUE!</v>
      </c>
      <c r="IB5" t="e">
        <f>AND(Sheet1!X20,"AAAAAHrf/us=")</f>
        <v>#VALUE!</v>
      </c>
      <c r="IC5" t="e">
        <f>AND(Sheet1!Y20,"AAAAAHrf/uw=")</f>
        <v>#VALUE!</v>
      </c>
      <c r="ID5" t="e">
        <f>AND(Sheet1!Z20,"AAAAAHrf/u0=")</f>
        <v>#VALUE!</v>
      </c>
      <c r="IE5" t="e">
        <f>AND(Sheet1!AA20,"AAAAAHrf/u4=")</f>
        <v>#VALUE!</v>
      </c>
      <c r="IF5" t="e">
        <f>AND(Sheet1!AB20,"AAAAAHrf/u8=")</f>
        <v>#VALUE!</v>
      </c>
      <c r="IG5" t="e">
        <f>AND(Sheet1!AC20,"AAAAAHrf/vA=")</f>
        <v>#VALUE!</v>
      </c>
      <c r="IH5" t="e">
        <f>AND(Sheet1!AD20,"AAAAAHrf/vE=")</f>
        <v>#VALUE!</v>
      </c>
      <c r="II5" t="e">
        <f>AND(Sheet1!AE20,"AAAAAHrf/vI=")</f>
        <v>#VALUE!</v>
      </c>
      <c r="IJ5" t="e">
        <f>AND(Sheet1!AF20,"AAAAAHrf/vM=")</f>
        <v>#VALUE!</v>
      </c>
      <c r="IK5" t="e">
        <f>AND(Sheet1!AG20,"AAAAAHrf/vQ=")</f>
        <v>#VALUE!</v>
      </c>
      <c r="IL5" t="e">
        <f>AND(Sheet1!AH20,"AAAAAHrf/vU=")</f>
        <v>#VALUE!</v>
      </c>
      <c r="IM5" t="e">
        <f>AND(Sheet1!AI20,"AAAAAHrf/vY=")</f>
        <v>#VALUE!</v>
      </c>
      <c r="IN5" t="e">
        <f>AND(Sheet1!AJ20,"AAAAAHrf/vc=")</f>
        <v>#VALUE!</v>
      </c>
      <c r="IO5" t="e">
        <f>AND(Sheet1!AK20,"AAAAAHrf/vg=")</f>
        <v>#VALUE!</v>
      </c>
      <c r="IP5" t="e">
        <f>AND(Sheet1!AL20,"AAAAAHrf/vk=")</f>
        <v>#VALUE!</v>
      </c>
      <c r="IQ5" t="e">
        <f>AND(Sheet1!AM20,"AAAAAHrf/vo=")</f>
        <v>#VALUE!</v>
      </c>
      <c r="IR5" t="e">
        <f>AND(Sheet1!AN20,"AAAAAHrf/vs=")</f>
        <v>#VALUE!</v>
      </c>
      <c r="IS5" t="e">
        <f>AND(Sheet1!AO20,"AAAAAHrf/vw=")</f>
        <v>#VALUE!</v>
      </c>
      <c r="IT5" t="e">
        <f>AND(Sheet1!AP20,"AAAAAHrf/v0=")</f>
        <v>#VALUE!</v>
      </c>
      <c r="IU5" t="e">
        <f>AND(Sheet1!AQ20,"AAAAAHrf/v4=")</f>
        <v>#VALUE!</v>
      </c>
      <c r="IV5" t="e">
        <f>AND(Sheet1!AR20,"AAAAAHrf/v8=")</f>
        <v>#VALUE!</v>
      </c>
    </row>
    <row r="6" spans="1:256" ht="12.75">
      <c r="A6" t="e">
        <f>AND(Sheet1!AS20,"AAAAAE5t5wA=")</f>
        <v>#VALUE!</v>
      </c>
      <c r="B6" t="e">
        <f>AND(Sheet1!AT20,"AAAAAE5t5wE=")</f>
        <v>#VALUE!</v>
      </c>
      <c r="C6" t="e">
        <f>AND(Sheet1!AU20,"AAAAAE5t5wI=")</f>
        <v>#VALUE!</v>
      </c>
      <c r="D6" t="e">
        <f>AND(Sheet1!AV20,"AAAAAE5t5wM=")</f>
        <v>#VALUE!</v>
      </c>
      <c r="E6" t="e">
        <f>AND(Sheet1!AW20,"AAAAAE5t5wQ=")</f>
        <v>#VALUE!</v>
      </c>
      <c r="F6" t="e">
        <f>AND(Sheet1!AX20,"AAAAAE5t5wU=")</f>
        <v>#VALUE!</v>
      </c>
      <c r="G6" t="e">
        <f>AND(Sheet1!AY20,"AAAAAE5t5wY=")</f>
        <v>#VALUE!</v>
      </c>
      <c r="H6" t="e">
        <f>AND(Sheet1!AZ20,"AAAAAE5t5wc=")</f>
        <v>#VALUE!</v>
      </c>
      <c r="I6" t="e">
        <f>AND(Sheet1!BA20,"AAAAAE5t5wg=")</f>
        <v>#VALUE!</v>
      </c>
      <c r="J6" t="e">
        <f>AND(Sheet1!BB20,"AAAAAE5t5wk=")</f>
        <v>#VALUE!</v>
      </c>
      <c r="K6" t="e">
        <f>AND(Sheet1!BC20,"AAAAAE5t5wo=")</f>
        <v>#VALUE!</v>
      </c>
      <c r="L6" t="e">
        <f>AND(Sheet1!BD20,"AAAAAE5t5ws=")</f>
        <v>#VALUE!</v>
      </c>
      <c r="M6" t="e">
        <f>AND(Sheet1!BE20,"AAAAAE5t5ww=")</f>
        <v>#VALUE!</v>
      </c>
      <c r="N6" t="b">
        <f>AND(Sheet1!BF20,"AAAAAE5t5w0=")</f>
        <v>0</v>
      </c>
      <c r="O6" t="e">
        <f>AND(Sheet1!BG20,"AAAAAE5t5w4=")</f>
        <v>#VALUE!</v>
      </c>
      <c r="P6" t="e">
        <f>AND(Sheet1!BH20,"AAAAAE5t5w8=")</f>
        <v>#VALUE!</v>
      </c>
      <c r="Q6" t="e">
        <f>AND(Sheet1!BI20,"AAAAAE5t5xA=")</f>
        <v>#VALUE!</v>
      </c>
      <c r="R6" t="e">
        <f>AND(Sheet1!BJ20,"AAAAAE5t5xE=")</f>
        <v>#VALUE!</v>
      </c>
      <c r="S6" t="e">
        <f>AND(Sheet1!BK20,"AAAAAE5t5xI=")</f>
        <v>#VALUE!</v>
      </c>
      <c r="T6" t="e">
        <f>AND(Sheet1!BL20,"AAAAAE5t5xM=")</f>
        <v>#VALUE!</v>
      </c>
      <c r="U6">
        <f>IF(Sheet1!21:21,"AAAAAE5t5xQ=",0)</f>
        <v>0</v>
      </c>
      <c r="V6" t="e">
        <f>AND(Sheet1!A21,"AAAAAE5t5xU=")</f>
        <v>#VALUE!</v>
      </c>
      <c r="W6" t="e">
        <f>AND(Sheet1!B21,"AAAAAE5t5xY=")</f>
        <v>#VALUE!</v>
      </c>
      <c r="X6" t="e">
        <f>AND(Sheet1!C21,"AAAAAE5t5xc=")</f>
        <v>#VALUE!</v>
      </c>
      <c r="Y6" t="e">
        <f>AND(Sheet1!D21,"AAAAAE5t5xg=")</f>
        <v>#VALUE!</v>
      </c>
      <c r="Z6" t="e">
        <f>AND(Sheet1!E21,"AAAAAE5t5xk=")</f>
        <v>#VALUE!</v>
      </c>
      <c r="AA6" t="e">
        <f>AND(Sheet1!F21,"AAAAAE5t5xo=")</f>
        <v>#VALUE!</v>
      </c>
      <c r="AB6" t="e">
        <f>AND(Sheet1!G21,"AAAAAE5t5xs=")</f>
        <v>#VALUE!</v>
      </c>
      <c r="AC6" t="e">
        <f>AND(Sheet1!H21,"AAAAAE5t5xw=")</f>
        <v>#VALUE!</v>
      </c>
      <c r="AD6" t="e">
        <f>AND(Sheet1!I21,"AAAAAE5t5x0=")</f>
        <v>#VALUE!</v>
      </c>
      <c r="AE6" t="e">
        <f>AND(Sheet1!J21,"AAAAAE5t5x4=")</f>
        <v>#VALUE!</v>
      </c>
      <c r="AF6" t="e">
        <f>AND(Sheet1!K21,"AAAAAE5t5x8=")</f>
        <v>#VALUE!</v>
      </c>
      <c r="AG6" t="e">
        <f>AND(Sheet1!L21,"AAAAAE5t5yA=")</f>
        <v>#VALUE!</v>
      </c>
      <c r="AH6" t="e">
        <f>AND(Sheet1!M21,"AAAAAE5t5yE=")</f>
        <v>#VALUE!</v>
      </c>
      <c r="AI6" t="e">
        <f>AND(Sheet1!N21,"AAAAAE5t5yI=")</f>
        <v>#VALUE!</v>
      </c>
      <c r="AJ6" t="e">
        <f>AND(Sheet1!O21,"AAAAAE5t5yM=")</f>
        <v>#VALUE!</v>
      </c>
      <c r="AK6" t="e">
        <f>AND(Sheet1!P21,"AAAAAE5t5yQ=")</f>
        <v>#VALUE!</v>
      </c>
      <c r="AL6" t="e">
        <f>AND(Sheet1!Q21,"AAAAAE5t5yU=")</f>
        <v>#VALUE!</v>
      </c>
      <c r="AM6" t="e">
        <f>AND(Sheet1!R21,"AAAAAE5t5yY=")</f>
        <v>#VALUE!</v>
      </c>
      <c r="AN6" t="e">
        <f>AND(Sheet1!S21,"AAAAAE5t5yc=")</f>
        <v>#VALUE!</v>
      </c>
      <c r="AO6" t="e">
        <f>AND(Sheet1!T21,"AAAAAE5t5yg=")</f>
        <v>#VALUE!</v>
      </c>
      <c r="AP6" t="e">
        <f>AND(Sheet1!U21,"AAAAAE5t5yk=")</f>
        <v>#VALUE!</v>
      </c>
      <c r="AQ6" t="e">
        <f>AND(Sheet1!V21,"AAAAAE5t5yo=")</f>
        <v>#VALUE!</v>
      </c>
      <c r="AR6" t="e">
        <f>AND(Sheet1!W21,"AAAAAE5t5ys=")</f>
        <v>#VALUE!</v>
      </c>
      <c r="AS6" t="e">
        <f>AND(Sheet1!X21,"AAAAAE5t5yw=")</f>
        <v>#VALUE!</v>
      </c>
      <c r="AT6" t="e">
        <f>AND(Sheet1!Y21,"AAAAAE5t5y0=")</f>
        <v>#VALUE!</v>
      </c>
      <c r="AU6" t="e">
        <f>AND(Sheet1!Z21,"AAAAAE5t5y4=")</f>
        <v>#VALUE!</v>
      </c>
      <c r="AV6" t="e">
        <f>AND(Sheet1!AA21,"AAAAAE5t5y8=")</f>
        <v>#VALUE!</v>
      </c>
      <c r="AW6" t="e">
        <f>AND(Sheet1!AB21,"AAAAAE5t5zA=")</f>
        <v>#VALUE!</v>
      </c>
      <c r="AX6" t="e">
        <f>AND(Sheet1!AC21,"AAAAAE5t5zE=")</f>
        <v>#VALUE!</v>
      </c>
      <c r="AY6" t="e">
        <f>AND(Sheet1!AD21,"AAAAAE5t5zI=")</f>
        <v>#VALUE!</v>
      </c>
      <c r="AZ6" t="e">
        <f>AND(Sheet1!AE21,"AAAAAE5t5zM=")</f>
        <v>#VALUE!</v>
      </c>
      <c r="BA6" t="e">
        <f>AND(Sheet1!AF21,"AAAAAE5t5zQ=")</f>
        <v>#VALUE!</v>
      </c>
      <c r="BB6" t="e">
        <f>AND(Sheet1!AG21,"AAAAAE5t5zU=")</f>
        <v>#VALUE!</v>
      </c>
      <c r="BC6" t="e">
        <f>AND(Sheet1!AH21,"AAAAAE5t5zY=")</f>
        <v>#VALUE!</v>
      </c>
      <c r="BD6" t="e">
        <f>AND(Sheet1!AI21,"AAAAAE5t5zc=")</f>
        <v>#VALUE!</v>
      </c>
      <c r="BE6" t="e">
        <f>AND(Sheet1!AJ21,"AAAAAE5t5zg=")</f>
        <v>#VALUE!</v>
      </c>
      <c r="BF6" t="e">
        <f>AND(Sheet1!AK21,"AAAAAE5t5zk=")</f>
        <v>#VALUE!</v>
      </c>
      <c r="BG6" t="e">
        <f>AND(Sheet1!AL21,"AAAAAE5t5zo=")</f>
        <v>#VALUE!</v>
      </c>
      <c r="BH6" t="e">
        <f>AND(Sheet1!AM21,"AAAAAE5t5zs=")</f>
        <v>#VALUE!</v>
      </c>
      <c r="BI6" t="e">
        <f>AND(Sheet1!AN21,"AAAAAE5t5zw=")</f>
        <v>#VALUE!</v>
      </c>
      <c r="BJ6" t="e">
        <f>AND(Sheet1!AO21,"AAAAAE5t5z0=")</f>
        <v>#VALUE!</v>
      </c>
      <c r="BK6" t="e">
        <f>AND(Sheet1!AP21,"AAAAAE5t5z4=")</f>
        <v>#VALUE!</v>
      </c>
      <c r="BL6" t="e">
        <f>AND(Sheet1!AQ21,"AAAAAE5t5z8=")</f>
        <v>#VALUE!</v>
      </c>
      <c r="BM6" t="e">
        <f>AND(Sheet1!AR21,"AAAAAE5t50A=")</f>
        <v>#VALUE!</v>
      </c>
      <c r="BN6" t="e">
        <f>AND(Sheet1!AS21,"AAAAAE5t50E=")</f>
        <v>#VALUE!</v>
      </c>
      <c r="BO6" t="e">
        <f>AND(Sheet1!AT21,"AAAAAE5t50I=")</f>
        <v>#VALUE!</v>
      </c>
      <c r="BP6" t="e">
        <f>AND(Sheet1!AU21,"AAAAAE5t50M=")</f>
        <v>#VALUE!</v>
      </c>
      <c r="BQ6" t="e">
        <f>AND(Sheet1!AV21,"AAAAAE5t50Q=")</f>
        <v>#VALUE!</v>
      </c>
      <c r="BR6" t="e">
        <f>AND(Sheet1!AW21,"AAAAAE5t50U=")</f>
        <v>#VALUE!</v>
      </c>
      <c r="BS6" t="e">
        <f>AND(Sheet1!AX21,"AAAAAE5t50Y=")</f>
        <v>#VALUE!</v>
      </c>
      <c r="BT6" t="e">
        <f>AND(Sheet1!AY21,"AAAAAE5t50c=")</f>
        <v>#VALUE!</v>
      </c>
      <c r="BU6" t="e">
        <f>AND(Sheet1!AZ21,"AAAAAE5t50g=")</f>
        <v>#VALUE!</v>
      </c>
      <c r="BV6" t="e">
        <f>AND(Sheet1!BA21,"AAAAAE5t50k=")</f>
        <v>#VALUE!</v>
      </c>
      <c r="BW6" t="e">
        <f>AND(Sheet1!BB21,"AAAAAE5t50o=")</f>
        <v>#VALUE!</v>
      </c>
      <c r="BX6" t="e">
        <f>AND(Sheet1!BC21,"AAAAAE5t50s=")</f>
        <v>#VALUE!</v>
      </c>
      <c r="BY6" t="e">
        <f>AND(Sheet1!BD21,"AAAAAE5t50w=")</f>
        <v>#VALUE!</v>
      </c>
      <c r="BZ6" t="e">
        <f>AND(Sheet1!BE21,"AAAAAE5t500=")</f>
        <v>#VALUE!</v>
      </c>
      <c r="CA6" t="b">
        <f>AND(Sheet1!BF21,"AAAAAE5t504=")</f>
        <v>0</v>
      </c>
      <c r="CB6" t="e">
        <f>AND(Sheet1!BG21,"AAAAAE5t508=")</f>
        <v>#VALUE!</v>
      </c>
      <c r="CC6" t="e">
        <f>AND(Sheet1!BH21,"AAAAAE5t51A=")</f>
        <v>#VALUE!</v>
      </c>
      <c r="CD6" t="e">
        <f>AND(Sheet1!BI21,"AAAAAE5t51E=")</f>
        <v>#VALUE!</v>
      </c>
      <c r="CE6" t="e">
        <f>AND(Sheet1!BJ21,"AAAAAE5t51I=")</f>
        <v>#VALUE!</v>
      </c>
      <c r="CF6" t="e">
        <f>AND(Sheet1!BK21,"AAAAAE5t51M=")</f>
        <v>#VALUE!</v>
      </c>
      <c r="CG6" t="e">
        <f>AND(Sheet1!BL21,"AAAAAE5t51Q=")</f>
        <v>#VALUE!</v>
      </c>
      <c r="CH6">
        <f>IF(Sheet1!22:22,"AAAAAE5t51U=",0)</f>
        <v>0</v>
      </c>
      <c r="CI6" t="e">
        <f>AND(Sheet1!A22,"AAAAAE5t51Y=")</f>
        <v>#VALUE!</v>
      </c>
      <c r="CJ6" t="e">
        <f>AND(Sheet1!B22,"AAAAAE5t51c=")</f>
        <v>#VALUE!</v>
      </c>
      <c r="CK6" t="e">
        <f>AND(Sheet1!C22,"AAAAAE5t51g=")</f>
        <v>#VALUE!</v>
      </c>
      <c r="CL6" t="e">
        <f>AND(Sheet1!D22,"AAAAAE5t51k=")</f>
        <v>#VALUE!</v>
      </c>
      <c r="CM6" t="e">
        <f>AND(Sheet1!E22,"AAAAAE5t51o=")</f>
        <v>#VALUE!</v>
      </c>
      <c r="CN6" t="e">
        <f>AND(Sheet1!F22,"AAAAAE5t51s=")</f>
        <v>#VALUE!</v>
      </c>
      <c r="CO6" t="e">
        <f>AND(Sheet1!G22,"AAAAAE5t51w=")</f>
        <v>#VALUE!</v>
      </c>
      <c r="CP6" t="e">
        <f>AND(Sheet1!H22,"AAAAAE5t510=")</f>
        <v>#VALUE!</v>
      </c>
      <c r="CQ6" t="e">
        <f>AND(Sheet1!I22,"AAAAAE5t514=")</f>
        <v>#VALUE!</v>
      </c>
      <c r="CR6" t="e">
        <f>AND(Sheet1!J22,"AAAAAE5t518=")</f>
        <v>#VALUE!</v>
      </c>
      <c r="CS6" t="e">
        <f>AND(Sheet1!K22,"AAAAAE5t52A=")</f>
        <v>#VALUE!</v>
      </c>
      <c r="CT6" t="e">
        <f>AND(Sheet1!L22,"AAAAAE5t52E=")</f>
        <v>#VALUE!</v>
      </c>
      <c r="CU6" t="e">
        <f>AND(Sheet1!M22,"AAAAAE5t52I=")</f>
        <v>#VALUE!</v>
      </c>
      <c r="CV6" t="e">
        <f>AND(Sheet1!N22,"AAAAAE5t52M=")</f>
        <v>#VALUE!</v>
      </c>
      <c r="CW6" t="e">
        <f>AND(Sheet1!O22,"AAAAAE5t52Q=")</f>
        <v>#VALUE!</v>
      </c>
      <c r="CX6" t="e">
        <f>AND(Sheet1!P22,"AAAAAE5t52U=")</f>
        <v>#VALUE!</v>
      </c>
      <c r="CY6" t="e">
        <f>AND(Sheet1!Q22,"AAAAAE5t52Y=")</f>
        <v>#VALUE!</v>
      </c>
      <c r="CZ6" t="e">
        <f>AND(Sheet1!R22,"AAAAAE5t52c=")</f>
        <v>#VALUE!</v>
      </c>
      <c r="DA6" t="e">
        <f>AND(Sheet1!S22,"AAAAAE5t52g=")</f>
        <v>#VALUE!</v>
      </c>
      <c r="DB6" t="e">
        <f>AND(Sheet1!T22,"AAAAAE5t52k=")</f>
        <v>#VALUE!</v>
      </c>
      <c r="DC6" t="e">
        <f>AND(Sheet1!U22,"AAAAAE5t52o=")</f>
        <v>#VALUE!</v>
      </c>
      <c r="DD6" t="e">
        <f>AND(Sheet1!V22,"AAAAAE5t52s=")</f>
        <v>#VALUE!</v>
      </c>
      <c r="DE6" t="e">
        <f>AND(Sheet1!W22,"AAAAAE5t52w=")</f>
        <v>#VALUE!</v>
      </c>
      <c r="DF6" t="e">
        <f>AND(Sheet1!X22,"AAAAAE5t520=")</f>
        <v>#VALUE!</v>
      </c>
      <c r="DG6" t="e">
        <f>AND(Sheet1!Y22,"AAAAAE5t524=")</f>
        <v>#VALUE!</v>
      </c>
      <c r="DH6" t="e">
        <f>AND(Sheet1!Z22,"AAAAAE5t528=")</f>
        <v>#VALUE!</v>
      </c>
      <c r="DI6" t="e">
        <f>AND(Sheet1!AA22,"AAAAAE5t53A=")</f>
        <v>#VALUE!</v>
      </c>
      <c r="DJ6" t="e">
        <f>AND(Sheet1!AB22,"AAAAAE5t53E=")</f>
        <v>#VALUE!</v>
      </c>
      <c r="DK6" t="e">
        <f>AND(Sheet1!AC22,"AAAAAE5t53I=")</f>
        <v>#VALUE!</v>
      </c>
      <c r="DL6" t="e">
        <f>AND(Sheet1!AD22,"AAAAAE5t53M=")</f>
        <v>#VALUE!</v>
      </c>
      <c r="DM6" t="e">
        <f>AND(Sheet1!AE22,"AAAAAE5t53Q=")</f>
        <v>#VALUE!</v>
      </c>
      <c r="DN6" t="e">
        <f>AND(Sheet1!AF22,"AAAAAE5t53U=")</f>
        <v>#VALUE!</v>
      </c>
      <c r="DO6" t="e">
        <f>AND(Sheet1!AG22,"AAAAAE5t53Y=")</f>
        <v>#VALUE!</v>
      </c>
      <c r="DP6" t="e">
        <f>AND(Sheet1!AH22,"AAAAAE5t53c=")</f>
        <v>#VALUE!</v>
      </c>
      <c r="DQ6" t="e">
        <f>AND(Sheet1!AI22,"AAAAAE5t53g=")</f>
        <v>#VALUE!</v>
      </c>
      <c r="DR6" t="e">
        <f>AND(Sheet1!AJ22,"AAAAAE5t53k=")</f>
        <v>#VALUE!</v>
      </c>
      <c r="DS6" t="e">
        <f>AND(Sheet1!AK22,"AAAAAE5t53o=")</f>
        <v>#VALUE!</v>
      </c>
      <c r="DT6" t="e">
        <f>AND(Sheet1!AL22,"AAAAAE5t53s=")</f>
        <v>#VALUE!</v>
      </c>
      <c r="DU6" t="e">
        <f>AND(Sheet1!AM22,"AAAAAE5t53w=")</f>
        <v>#VALUE!</v>
      </c>
      <c r="DV6" t="e">
        <f>AND(Sheet1!AN22,"AAAAAE5t530=")</f>
        <v>#VALUE!</v>
      </c>
      <c r="DW6" t="e">
        <f>AND(Sheet1!AO22,"AAAAAE5t534=")</f>
        <v>#VALUE!</v>
      </c>
      <c r="DX6" t="e">
        <f>AND(Sheet1!AP22,"AAAAAE5t538=")</f>
        <v>#VALUE!</v>
      </c>
      <c r="DY6" t="e">
        <f>AND(Sheet1!AQ22,"AAAAAE5t54A=")</f>
        <v>#VALUE!</v>
      </c>
      <c r="DZ6" t="e">
        <f>AND(Sheet1!AR22,"AAAAAE5t54E=")</f>
        <v>#VALUE!</v>
      </c>
      <c r="EA6" t="e">
        <f>AND(Sheet1!AS22,"AAAAAE5t54I=")</f>
        <v>#VALUE!</v>
      </c>
      <c r="EB6" t="e">
        <f>AND(Sheet1!AT22,"AAAAAE5t54M=")</f>
        <v>#VALUE!</v>
      </c>
      <c r="EC6" t="e">
        <f>AND(Sheet1!AU22,"AAAAAE5t54Q=")</f>
        <v>#VALUE!</v>
      </c>
      <c r="ED6" t="e">
        <f>AND(Sheet1!AV22,"AAAAAE5t54U=")</f>
        <v>#VALUE!</v>
      </c>
      <c r="EE6" t="e">
        <f>AND(Sheet1!AW22,"AAAAAE5t54Y=")</f>
        <v>#VALUE!</v>
      </c>
      <c r="EF6" t="e">
        <f>AND(Sheet1!AX22,"AAAAAE5t54c=")</f>
        <v>#VALUE!</v>
      </c>
      <c r="EG6" t="e">
        <f>AND(Sheet1!AY22,"AAAAAE5t54g=")</f>
        <v>#VALUE!</v>
      </c>
      <c r="EH6" t="e">
        <f>AND(Sheet1!AZ22,"AAAAAE5t54k=")</f>
        <v>#VALUE!</v>
      </c>
      <c r="EI6" t="e">
        <f>AND(Sheet1!BA22,"AAAAAE5t54o=")</f>
        <v>#VALUE!</v>
      </c>
      <c r="EJ6" t="e">
        <f>AND(Sheet1!BB22,"AAAAAE5t54s=")</f>
        <v>#VALUE!</v>
      </c>
      <c r="EK6" t="e">
        <f>AND(Sheet1!BC22,"AAAAAE5t54w=")</f>
        <v>#VALUE!</v>
      </c>
      <c r="EL6" t="e">
        <f>AND(Sheet1!BD22,"AAAAAE5t540=")</f>
        <v>#VALUE!</v>
      </c>
      <c r="EM6" t="e">
        <f>AND(Sheet1!BE22,"AAAAAE5t544=")</f>
        <v>#VALUE!</v>
      </c>
      <c r="EN6" t="b">
        <f>AND(Sheet1!BF22,"AAAAAE5t548=")</f>
        <v>0</v>
      </c>
      <c r="EO6" t="e">
        <f>AND(Sheet1!BG22,"AAAAAE5t55A=")</f>
        <v>#VALUE!</v>
      </c>
      <c r="EP6" t="e">
        <f>AND(Sheet1!BH22,"AAAAAE5t55E=")</f>
        <v>#VALUE!</v>
      </c>
      <c r="EQ6" t="e">
        <f>AND(Sheet1!BI22,"AAAAAE5t55I=")</f>
        <v>#VALUE!</v>
      </c>
      <c r="ER6" t="e">
        <f>AND(Sheet1!BJ22,"AAAAAE5t55M=")</f>
        <v>#VALUE!</v>
      </c>
      <c r="ES6" t="e">
        <f>AND(Sheet1!BK22,"AAAAAE5t55Q=")</f>
        <v>#VALUE!</v>
      </c>
      <c r="ET6" t="e">
        <f>AND(Sheet1!BL22,"AAAAAE5t55U=")</f>
        <v>#VALUE!</v>
      </c>
      <c r="EU6">
        <f>IF(Sheet1!23:23,"AAAAAE5t55Y=",0)</f>
        <v>0</v>
      </c>
      <c r="EV6" t="e">
        <f>AND(Sheet1!A23,"AAAAAE5t55c=")</f>
        <v>#VALUE!</v>
      </c>
      <c r="EW6" t="e">
        <f>AND(Sheet1!B23,"AAAAAE5t55g=")</f>
        <v>#VALUE!</v>
      </c>
      <c r="EX6" t="e">
        <f>AND(Sheet1!C23,"AAAAAE5t55k=")</f>
        <v>#VALUE!</v>
      </c>
      <c r="EY6" t="e">
        <f>AND(Sheet1!D23,"AAAAAE5t55o=")</f>
        <v>#VALUE!</v>
      </c>
      <c r="EZ6" t="e">
        <f>AND(Sheet1!E23,"AAAAAE5t55s=")</f>
        <v>#VALUE!</v>
      </c>
      <c r="FA6" t="e">
        <f>AND(Sheet1!F23,"AAAAAE5t55w=")</f>
        <v>#VALUE!</v>
      </c>
      <c r="FB6" t="e">
        <f>AND(Sheet1!G23,"AAAAAE5t550=")</f>
        <v>#VALUE!</v>
      </c>
      <c r="FC6" t="e">
        <f>AND(Sheet1!H23,"AAAAAE5t554=")</f>
        <v>#VALUE!</v>
      </c>
      <c r="FD6" t="e">
        <f>AND(Sheet1!I23,"AAAAAE5t558=")</f>
        <v>#VALUE!</v>
      </c>
      <c r="FE6" t="e">
        <f>AND(Sheet1!J23,"AAAAAE5t56A=")</f>
        <v>#VALUE!</v>
      </c>
      <c r="FF6" t="e">
        <f>AND(Sheet1!K23,"AAAAAE5t56E=")</f>
        <v>#VALUE!</v>
      </c>
      <c r="FG6" t="e">
        <f>AND(Sheet1!L23,"AAAAAE5t56I=")</f>
        <v>#VALUE!</v>
      </c>
      <c r="FH6" t="e">
        <f>AND(Sheet1!M23,"AAAAAE5t56M=")</f>
        <v>#VALUE!</v>
      </c>
      <c r="FI6" t="e">
        <f>AND(Sheet1!N23,"AAAAAE5t56Q=")</f>
        <v>#VALUE!</v>
      </c>
      <c r="FJ6" t="e">
        <f>AND(Sheet1!O23,"AAAAAE5t56U=")</f>
        <v>#VALUE!</v>
      </c>
      <c r="FK6" t="e">
        <f>AND(Sheet1!P23,"AAAAAE5t56Y=")</f>
        <v>#VALUE!</v>
      </c>
      <c r="FL6" t="e">
        <f>AND(Sheet1!Q23,"AAAAAE5t56c=")</f>
        <v>#VALUE!</v>
      </c>
      <c r="FM6" t="e">
        <f>AND(Sheet1!R23,"AAAAAE5t56g=")</f>
        <v>#VALUE!</v>
      </c>
      <c r="FN6" t="e">
        <f>AND(Sheet1!S23,"AAAAAE5t56k=")</f>
        <v>#VALUE!</v>
      </c>
      <c r="FO6" t="e">
        <f>AND(Sheet1!T23,"AAAAAE5t56o=")</f>
        <v>#VALUE!</v>
      </c>
      <c r="FP6" t="e">
        <f>AND(Sheet1!U23,"AAAAAE5t56s=")</f>
        <v>#VALUE!</v>
      </c>
      <c r="FQ6" t="e">
        <f>AND(Sheet1!V23,"AAAAAE5t56w=")</f>
        <v>#VALUE!</v>
      </c>
      <c r="FR6" t="e">
        <f>AND(Sheet1!W23,"AAAAAE5t560=")</f>
        <v>#VALUE!</v>
      </c>
      <c r="FS6" t="e">
        <f>AND(Sheet1!X23,"AAAAAE5t564=")</f>
        <v>#VALUE!</v>
      </c>
      <c r="FT6" t="e">
        <f>AND(Sheet1!Y23,"AAAAAE5t568=")</f>
        <v>#VALUE!</v>
      </c>
      <c r="FU6" t="e">
        <f>AND(Sheet1!Z23,"AAAAAE5t57A=")</f>
        <v>#VALUE!</v>
      </c>
      <c r="FV6" t="e">
        <f>AND(Sheet1!AA23,"AAAAAE5t57E=")</f>
        <v>#VALUE!</v>
      </c>
      <c r="FW6" t="e">
        <f>AND(Sheet1!AB23,"AAAAAE5t57I=")</f>
        <v>#VALUE!</v>
      </c>
      <c r="FX6" t="e">
        <f>AND(Sheet1!AC23,"AAAAAE5t57M=")</f>
        <v>#VALUE!</v>
      </c>
      <c r="FY6" t="e">
        <f>AND(Sheet1!AD23,"AAAAAE5t57Q=")</f>
        <v>#VALUE!</v>
      </c>
      <c r="FZ6" t="e">
        <f>AND(Sheet1!AE23,"AAAAAE5t57U=")</f>
        <v>#VALUE!</v>
      </c>
      <c r="GA6" t="e">
        <f>AND(Sheet1!AF23,"AAAAAE5t57Y=")</f>
        <v>#VALUE!</v>
      </c>
      <c r="GB6" t="e">
        <f>AND(Sheet1!AG23,"AAAAAE5t57c=")</f>
        <v>#VALUE!</v>
      </c>
      <c r="GC6" t="e">
        <f>AND(Sheet1!AH23,"AAAAAE5t57g=")</f>
        <v>#VALUE!</v>
      </c>
      <c r="GD6" t="e">
        <f>AND(Sheet1!AI23,"AAAAAE5t57k=")</f>
        <v>#VALUE!</v>
      </c>
      <c r="GE6" t="e">
        <f>AND(Sheet1!AJ23,"AAAAAE5t57o=")</f>
        <v>#VALUE!</v>
      </c>
      <c r="GF6" t="e">
        <f>AND(Sheet1!AK23,"AAAAAE5t57s=")</f>
        <v>#VALUE!</v>
      </c>
      <c r="GG6" t="e">
        <f>AND(Sheet1!AL23,"AAAAAE5t57w=")</f>
        <v>#VALUE!</v>
      </c>
      <c r="GH6" t="e">
        <f>AND(Sheet1!AM23,"AAAAAE5t570=")</f>
        <v>#VALUE!</v>
      </c>
      <c r="GI6" t="e">
        <f>AND(Sheet1!AN23,"AAAAAE5t574=")</f>
        <v>#VALUE!</v>
      </c>
      <c r="GJ6" t="e">
        <f>AND(Sheet1!AO23,"AAAAAE5t578=")</f>
        <v>#VALUE!</v>
      </c>
      <c r="GK6" t="e">
        <f>AND(Sheet1!AP23,"AAAAAE5t58A=")</f>
        <v>#VALUE!</v>
      </c>
      <c r="GL6" t="e">
        <f>AND(Sheet1!AQ23,"AAAAAE5t58E=")</f>
        <v>#VALUE!</v>
      </c>
      <c r="GM6" t="e">
        <f>AND(Sheet1!AR23,"AAAAAE5t58I=")</f>
        <v>#VALUE!</v>
      </c>
      <c r="GN6" t="e">
        <f>AND(Sheet1!AS23,"AAAAAE5t58M=")</f>
        <v>#VALUE!</v>
      </c>
      <c r="GO6" t="e">
        <f>AND(Sheet1!AT23,"AAAAAE5t58Q=")</f>
        <v>#VALUE!</v>
      </c>
      <c r="GP6" t="e">
        <f>AND(Sheet1!AU23,"AAAAAE5t58U=")</f>
        <v>#VALUE!</v>
      </c>
      <c r="GQ6" t="e">
        <f>AND(Sheet1!AV23,"AAAAAE5t58Y=")</f>
        <v>#VALUE!</v>
      </c>
      <c r="GR6" t="e">
        <f>AND(Sheet1!AW23,"AAAAAE5t58c=")</f>
        <v>#VALUE!</v>
      </c>
      <c r="GS6" t="e">
        <f>AND(Sheet1!AX23,"AAAAAE5t58g=")</f>
        <v>#VALUE!</v>
      </c>
      <c r="GT6" t="e">
        <f>AND(Sheet1!AY23,"AAAAAE5t58k=")</f>
        <v>#VALUE!</v>
      </c>
      <c r="GU6" t="e">
        <f>AND(Sheet1!AZ23,"AAAAAE5t58o=")</f>
        <v>#VALUE!</v>
      </c>
      <c r="GV6" t="e">
        <f>AND(Sheet1!BA23,"AAAAAE5t58s=")</f>
        <v>#VALUE!</v>
      </c>
      <c r="GW6" t="e">
        <f>AND(Sheet1!BB23,"AAAAAE5t58w=")</f>
        <v>#VALUE!</v>
      </c>
      <c r="GX6" t="e">
        <f>AND(Sheet1!BC23,"AAAAAE5t580=")</f>
        <v>#VALUE!</v>
      </c>
      <c r="GY6" t="e">
        <f>AND(Sheet1!BD23,"AAAAAE5t584=")</f>
        <v>#VALUE!</v>
      </c>
      <c r="GZ6" t="e">
        <f>AND(Sheet1!BE23,"AAAAAE5t588=")</f>
        <v>#VALUE!</v>
      </c>
      <c r="HA6" t="b">
        <f>AND(Sheet1!BF23,"AAAAAE5t59A=")</f>
        <v>0</v>
      </c>
      <c r="HB6" t="e">
        <f>AND(Sheet1!BG23,"AAAAAE5t59E=")</f>
        <v>#VALUE!</v>
      </c>
      <c r="HC6" t="e">
        <f>AND(Sheet1!BH23,"AAAAAE5t59I=")</f>
        <v>#VALUE!</v>
      </c>
      <c r="HD6" t="e">
        <f>AND(Sheet1!BI23,"AAAAAE5t59M=")</f>
        <v>#VALUE!</v>
      </c>
      <c r="HE6" t="e">
        <f>AND(Sheet1!BJ23,"AAAAAE5t59Q=")</f>
        <v>#VALUE!</v>
      </c>
      <c r="HF6" t="e">
        <f>AND(Sheet1!BK23,"AAAAAE5t59U=")</f>
        <v>#VALUE!</v>
      </c>
      <c r="HG6" t="e">
        <f>AND(Sheet1!BL23,"AAAAAE5t59Y=")</f>
        <v>#VALUE!</v>
      </c>
      <c r="HH6">
        <f>IF(Sheet1!24:24,"AAAAAE5t59c=",0)</f>
        <v>0</v>
      </c>
      <c r="HI6" t="e">
        <f>AND(Sheet1!A24,"AAAAAE5t59g=")</f>
        <v>#VALUE!</v>
      </c>
      <c r="HJ6" t="e">
        <f>AND(Sheet1!B24,"AAAAAE5t59k=")</f>
        <v>#VALUE!</v>
      </c>
      <c r="HK6" t="e">
        <f>AND(Sheet1!C24,"AAAAAE5t59o=")</f>
        <v>#VALUE!</v>
      </c>
      <c r="HL6" t="e">
        <f>AND(Sheet1!D24,"AAAAAE5t59s=")</f>
        <v>#VALUE!</v>
      </c>
      <c r="HM6" t="e">
        <f>AND(Sheet1!E24,"AAAAAE5t59w=")</f>
        <v>#VALUE!</v>
      </c>
      <c r="HN6" t="e">
        <f>AND(Sheet1!F24,"AAAAAE5t590=")</f>
        <v>#VALUE!</v>
      </c>
      <c r="HO6" t="e">
        <f>AND(Sheet1!G24,"AAAAAE5t594=")</f>
        <v>#VALUE!</v>
      </c>
      <c r="HP6" t="e">
        <f>AND(Sheet1!H24,"AAAAAE5t598=")</f>
        <v>#VALUE!</v>
      </c>
      <c r="HQ6" t="e">
        <f>AND(Sheet1!I24,"AAAAAE5t5+A=")</f>
        <v>#VALUE!</v>
      </c>
      <c r="HR6" t="e">
        <f>AND(Sheet1!J24,"AAAAAE5t5+E=")</f>
        <v>#VALUE!</v>
      </c>
      <c r="HS6" t="e">
        <f>AND(Sheet1!K24,"AAAAAE5t5+I=")</f>
        <v>#VALUE!</v>
      </c>
      <c r="HT6" t="e">
        <f>AND(Sheet1!L24,"AAAAAE5t5+M=")</f>
        <v>#VALUE!</v>
      </c>
      <c r="HU6" t="e">
        <f>AND(Sheet1!M24,"AAAAAE5t5+Q=")</f>
        <v>#VALUE!</v>
      </c>
      <c r="HV6" t="e">
        <f>AND(Sheet1!N24,"AAAAAE5t5+U=")</f>
        <v>#VALUE!</v>
      </c>
      <c r="HW6" t="e">
        <f>AND(Sheet1!O24,"AAAAAE5t5+Y=")</f>
        <v>#VALUE!</v>
      </c>
      <c r="HX6" t="e">
        <f>AND(Sheet1!P24,"AAAAAE5t5+c=")</f>
        <v>#VALUE!</v>
      </c>
      <c r="HY6" t="e">
        <f>AND(Sheet1!Q24,"AAAAAE5t5+g=")</f>
        <v>#VALUE!</v>
      </c>
      <c r="HZ6" t="e">
        <f>AND(Sheet1!R24,"AAAAAE5t5+k=")</f>
        <v>#VALUE!</v>
      </c>
      <c r="IA6" t="e">
        <f>AND(Sheet1!S24,"AAAAAE5t5+o=")</f>
        <v>#VALUE!</v>
      </c>
      <c r="IB6" t="e">
        <f>AND(Sheet1!T24,"AAAAAE5t5+s=")</f>
        <v>#VALUE!</v>
      </c>
      <c r="IC6" t="e">
        <f>AND(Sheet1!U24,"AAAAAE5t5+w=")</f>
        <v>#VALUE!</v>
      </c>
      <c r="ID6" t="e">
        <f>AND(Sheet1!V24,"AAAAAE5t5+0=")</f>
        <v>#VALUE!</v>
      </c>
      <c r="IE6" t="e">
        <f>AND(Sheet1!W24,"AAAAAE5t5+4=")</f>
        <v>#VALUE!</v>
      </c>
      <c r="IF6" t="e">
        <f>AND(Sheet1!X24,"AAAAAE5t5+8=")</f>
        <v>#VALUE!</v>
      </c>
      <c r="IG6" t="e">
        <f>AND(Sheet1!Y24,"AAAAAE5t5/A=")</f>
        <v>#VALUE!</v>
      </c>
      <c r="IH6" t="e">
        <f>AND(Sheet1!Z24,"AAAAAE5t5/E=")</f>
        <v>#VALUE!</v>
      </c>
      <c r="II6" t="e">
        <f>AND(Sheet1!AA24,"AAAAAE5t5/I=")</f>
        <v>#VALUE!</v>
      </c>
      <c r="IJ6" t="e">
        <f>AND(Sheet1!AB24,"AAAAAE5t5/M=")</f>
        <v>#VALUE!</v>
      </c>
      <c r="IK6" t="e">
        <f>AND(Sheet1!AC24,"AAAAAE5t5/Q=")</f>
        <v>#VALUE!</v>
      </c>
      <c r="IL6" t="e">
        <f>AND(Sheet1!AD24,"AAAAAE5t5/U=")</f>
        <v>#VALUE!</v>
      </c>
      <c r="IM6" t="e">
        <f>AND(Sheet1!AE24,"AAAAAE5t5/Y=")</f>
        <v>#VALUE!</v>
      </c>
      <c r="IN6" t="e">
        <f>AND(Sheet1!AF24,"AAAAAE5t5/c=")</f>
        <v>#VALUE!</v>
      </c>
      <c r="IO6" t="e">
        <f>AND(Sheet1!AG24,"AAAAAE5t5/g=")</f>
        <v>#VALUE!</v>
      </c>
      <c r="IP6" t="e">
        <f>AND(Sheet1!AH24,"AAAAAE5t5/k=")</f>
        <v>#VALUE!</v>
      </c>
      <c r="IQ6" t="e">
        <f>AND(Sheet1!AI24,"AAAAAE5t5/o=")</f>
        <v>#VALUE!</v>
      </c>
      <c r="IR6" t="e">
        <f>AND(Sheet1!AJ24,"AAAAAE5t5/s=")</f>
        <v>#VALUE!</v>
      </c>
      <c r="IS6" t="e">
        <f>AND(Sheet1!AK24,"AAAAAE5t5/w=")</f>
        <v>#VALUE!</v>
      </c>
      <c r="IT6" t="e">
        <f>AND(Sheet1!AL24,"AAAAAE5t5/0=")</f>
        <v>#VALUE!</v>
      </c>
      <c r="IU6" t="e">
        <f>AND(Sheet1!AM24,"AAAAAE5t5/4=")</f>
        <v>#VALUE!</v>
      </c>
      <c r="IV6" t="e">
        <f>AND(Sheet1!AN24,"AAAAAE5t5/8=")</f>
        <v>#VALUE!</v>
      </c>
    </row>
    <row r="7" spans="1:256" ht="12.75">
      <c r="A7" t="e">
        <f>AND(Sheet1!AO24,"AAAAABlr5wA=")</f>
        <v>#VALUE!</v>
      </c>
      <c r="B7" t="e">
        <f>AND(Sheet1!AP24,"AAAAABlr5wE=")</f>
        <v>#VALUE!</v>
      </c>
      <c r="C7" t="e">
        <f>AND(Sheet1!AQ24,"AAAAABlr5wI=")</f>
        <v>#VALUE!</v>
      </c>
      <c r="D7" t="e">
        <f>AND(Sheet1!AR24,"AAAAABlr5wM=")</f>
        <v>#VALUE!</v>
      </c>
      <c r="E7" t="e">
        <f>AND(Sheet1!AS24,"AAAAABlr5wQ=")</f>
        <v>#VALUE!</v>
      </c>
      <c r="F7" t="e">
        <f>AND(Sheet1!AT24,"AAAAABlr5wU=")</f>
        <v>#VALUE!</v>
      </c>
      <c r="G7" t="e">
        <f>AND(Sheet1!AU24,"AAAAABlr5wY=")</f>
        <v>#VALUE!</v>
      </c>
      <c r="H7" t="e">
        <f>AND(Sheet1!AV24,"AAAAABlr5wc=")</f>
        <v>#VALUE!</v>
      </c>
      <c r="I7" t="e">
        <f>AND(Sheet1!AW24,"AAAAABlr5wg=")</f>
        <v>#VALUE!</v>
      </c>
      <c r="J7" t="e">
        <f>AND(Sheet1!AX24,"AAAAABlr5wk=")</f>
        <v>#VALUE!</v>
      </c>
      <c r="K7" t="e">
        <f>AND(Sheet1!AY24,"AAAAABlr5wo=")</f>
        <v>#VALUE!</v>
      </c>
      <c r="L7" t="e">
        <f>AND(Sheet1!AZ24,"AAAAABlr5ws=")</f>
        <v>#VALUE!</v>
      </c>
      <c r="M7" t="e">
        <f>AND(Sheet1!BA24,"AAAAABlr5ww=")</f>
        <v>#VALUE!</v>
      </c>
      <c r="N7" t="e">
        <f>AND(Sheet1!BB24,"AAAAABlr5w0=")</f>
        <v>#VALUE!</v>
      </c>
      <c r="O7" t="e">
        <f>AND(Sheet1!BC24,"AAAAABlr5w4=")</f>
        <v>#VALUE!</v>
      </c>
      <c r="P7" t="e">
        <f>AND(Sheet1!BD24,"AAAAABlr5w8=")</f>
        <v>#VALUE!</v>
      </c>
      <c r="Q7" t="e">
        <f>AND(Sheet1!BE24,"AAAAABlr5xA=")</f>
        <v>#VALUE!</v>
      </c>
      <c r="R7" t="b">
        <f>AND(Sheet1!BF24,"AAAAABlr5xE=")</f>
        <v>0</v>
      </c>
      <c r="S7" t="e">
        <f>AND(Sheet1!BG24,"AAAAABlr5xI=")</f>
        <v>#VALUE!</v>
      </c>
      <c r="T7" t="e">
        <f>AND(Sheet1!BH24,"AAAAABlr5xM=")</f>
        <v>#VALUE!</v>
      </c>
      <c r="U7" t="e">
        <f>AND(Sheet1!BI24,"AAAAABlr5xQ=")</f>
        <v>#VALUE!</v>
      </c>
      <c r="V7" t="e">
        <f>AND(Sheet1!BJ24,"AAAAABlr5xU=")</f>
        <v>#VALUE!</v>
      </c>
      <c r="W7" t="e">
        <f>AND(Sheet1!BK24,"AAAAABlr5xY=")</f>
        <v>#VALUE!</v>
      </c>
      <c r="X7" t="e">
        <f>AND(Sheet1!BL24,"AAAAABlr5xc=")</f>
        <v>#VALUE!</v>
      </c>
      <c r="Y7">
        <f>IF(Sheet1!25:25,"AAAAABlr5xg=",0)</f>
        <v>0</v>
      </c>
      <c r="Z7" t="e">
        <f>AND(Sheet1!A25,"AAAAABlr5xk=")</f>
        <v>#VALUE!</v>
      </c>
      <c r="AA7" t="e">
        <f>AND(Sheet1!B25,"AAAAABlr5xo=")</f>
        <v>#VALUE!</v>
      </c>
      <c r="AB7" t="e">
        <f>AND(Sheet1!C25,"AAAAABlr5xs=")</f>
        <v>#VALUE!</v>
      </c>
      <c r="AC7" t="e">
        <f>AND(Sheet1!D25,"AAAAABlr5xw=")</f>
        <v>#VALUE!</v>
      </c>
      <c r="AD7" t="e">
        <f>AND(Sheet1!E25,"AAAAABlr5x0=")</f>
        <v>#VALUE!</v>
      </c>
      <c r="AE7" t="e">
        <f>AND(Sheet1!F25,"AAAAABlr5x4=")</f>
        <v>#VALUE!</v>
      </c>
      <c r="AF7" t="e">
        <f>AND(Sheet1!G25,"AAAAABlr5x8=")</f>
        <v>#VALUE!</v>
      </c>
      <c r="AG7" t="e">
        <f>AND(Sheet1!H25,"AAAAABlr5yA=")</f>
        <v>#VALUE!</v>
      </c>
      <c r="AH7" t="e">
        <f>AND(Sheet1!I25,"AAAAABlr5yE=")</f>
        <v>#VALUE!</v>
      </c>
      <c r="AI7" t="e">
        <f>AND(Sheet1!J25,"AAAAABlr5yI=")</f>
        <v>#VALUE!</v>
      </c>
      <c r="AJ7" t="e">
        <f>AND(Sheet1!K25,"AAAAABlr5yM=")</f>
        <v>#VALUE!</v>
      </c>
      <c r="AK7" t="e">
        <f>AND(Sheet1!L25,"AAAAABlr5yQ=")</f>
        <v>#VALUE!</v>
      </c>
      <c r="AL7" t="e">
        <f>AND(Sheet1!M25,"AAAAABlr5yU=")</f>
        <v>#VALUE!</v>
      </c>
      <c r="AM7" t="e">
        <f>AND(Sheet1!N25,"AAAAABlr5yY=")</f>
        <v>#VALUE!</v>
      </c>
      <c r="AN7" t="e">
        <f>AND(Sheet1!O25,"AAAAABlr5yc=")</f>
        <v>#VALUE!</v>
      </c>
      <c r="AO7" t="e">
        <f>AND(Sheet1!P25,"AAAAABlr5yg=")</f>
        <v>#VALUE!</v>
      </c>
      <c r="AP7" t="e">
        <f>AND(Sheet1!Q25,"AAAAABlr5yk=")</f>
        <v>#VALUE!</v>
      </c>
      <c r="AQ7" t="e">
        <f>AND(Sheet1!R25,"AAAAABlr5yo=")</f>
        <v>#VALUE!</v>
      </c>
      <c r="AR7" t="e">
        <f>AND(Sheet1!S25,"AAAAABlr5ys=")</f>
        <v>#VALUE!</v>
      </c>
      <c r="AS7" t="e">
        <f>AND(Sheet1!T25,"AAAAABlr5yw=")</f>
        <v>#VALUE!</v>
      </c>
      <c r="AT7" t="e">
        <f>AND(Sheet1!U25,"AAAAABlr5y0=")</f>
        <v>#VALUE!</v>
      </c>
      <c r="AU7" t="e">
        <f>AND(Sheet1!V25,"AAAAABlr5y4=")</f>
        <v>#VALUE!</v>
      </c>
      <c r="AV7" t="e">
        <f>AND(Sheet1!W25,"AAAAABlr5y8=")</f>
        <v>#VALUE!</v>
      </c>
      <c r="AW7" t="e">
        <f>AND(Sheet1!X25,"AAAAABlr5zA=")</f>
        <v>#VALUE!</v>
      </c>
      <c r="AX7" t="e">
        <f>AND(Sheet1!Y25,"AAAAABlr5zE=")</f>
        <v>#VALUE!</v>
      </c>
      <c r="AY7" t="e">
        <f>AND(Sheet1!Z25,"AAAAABlr5zI=")</f>
        <v>#VALUE!</v>
      </c>
      <c r="AZ7" t="e">
        <f>AND(Sheet1!AA25,"AAAAABlr5zM=")</f>
        <v>#VALUE!</v>
      </c>
      <c r="BA7" t="e">
        <f>AND(Sheet1!AB25,"AAAAABlr5zQ=")</f>
        <v>#VALUE!</v>
      </c>
      <c r="BB7" t="e">
        <f>AND(Sheet1!AC25,"AAAAABlr5zU=")</f>
        <v>#VALUE!</v>
      </c>
      <c r="BC7" t="e">
        <f>AND(Sheet1!AD25,"AAAAABlr5zY=")</f>
        <v>#VALUE!</v>
      </c>
      <c r="BD7" t="e">
        <f>AND(Sheet1!AE25,"AAAAABlr5zc=")</f>
        <v>#VALUE!</v>
      </c>
      <c r="BE7" t="e">
        <f>AND(Sheet1!AF25,"AAAAABlr5zg=")</f>
        <v>#VALUE!</v>
      </c>
      <c r="BF7" t="e">
        <f>AND(Sheet1!AG25,"AAAAABlr5zk=")</f>
        <v>#VALUE!</v>
      </c>
      <c r="BG7" t="e">
        <f>AND(Sheet1!AH25,"AAAAABlr5zo=")</f>
        <v>#VALUE!</v>
      </c>
      <c r="BH7" t="e">
        <f>AND(Sheet1!AI25,"AAAAABlr5zs=")</f>
        <v>#VALUE!</v>
      </c>
      <c r="BI7" t="e">
        <f>AND(Sheet1!AJ25,"AAAAABlr5zw=")</f>
        <v>#VALUE!</v>
      </c>
      <c r="BJ7" t="e">
        <f>AND(Sheet1!AK25,"AAAAABlr5z0=")</f>
        <v>#VALUE!</v>
      </c>
      <c r="BK7" t="e">
        <f>AND(Sheet1!AL25,"AAAAABlr5z4=")</f>
        <v>#VALUE!</v>
      </c>
      <c r="BL7" t="e">
        <f>AND(Sheet1!AM25,"AAAAABlr5z8=")</f>
        <v>#VALUE!</v>
      </c>
      <c r="BM7" t="e">
        <f>AND(Sheet1!AN25,"AAAAABlr50A=")</f>
        <v>#VALUE!</v>
      </c>
      <c r="BN7" t="e">
        <f>AND(Sheet1!AO25,"AAAAABlr50E=")</f>
        <v>#VALUE!</v>
      </c>
      <c r="BO7" t="e">
        <f>AND(Sheet1!AP25,"AAAAABlr50I=")</f>
        <v>#VALUE!</v>
      </c>
      <c r="BP7" t="e">
        <f>AND(Sheet1!AQ25,"AAAAABlr50M=")</f>
        <v>#VALUE!</v>
      </c>
      <c r="BQ7" t="e">
        <f>AND(Sheet1!AR25,"AAAAABlr50Q=")</f>
        <v>#VALUE!</v>
      </c>
      <c r="BR7" t="e">
        <f>AND(Sheet1!AS25,"AAAAABlr50U=")</f>
        <v>#VALUE!</v>
      </c>
      <c r="BS7" t="e">
        <f>AND(Sheet1!AT25,"AAAAABlr50Y=")</f>
        <v>#VALUE!</v>
      </c>
      <c r="BT7" t="e">
        <f>AND(Sheet1!AU25,"AAAAABlr50c=")</f>
        <v>#VALUE!</v>
      </c>
      <c r="BU7" t="e">
        <f>AND(Sheet1!AV25,"AAAAABlr50g=")</f>
        <v>#VALUE!</v>
      </c>
      <c r="BV7" t="e">
        <f>AND(Sheet1!AW25,"AAAAABlr50k=")</f>
        <v>#VALUE!</v>
      </c>
      <c r="BW7" t="e">
        <f>AND(Sheet1!AX25,"AAAAABlr50o=")</f>
        <v>#VALUE!</v>
      </c>
      <c r="BX7" t="e">
        <f>AND(Sheet1!AY25,"AAAAABlr50s=")</f>
        <v>#VALUE!</v>
      </c>
      <c r="BY7" t="e">
        <f>AND(Sheet1!AZ25,"AAAAABlr50w=")</f>
        <v>#VALUE!</v>
      </c>
      <c r="BZ7" t="e">
        <f>AND(Sheet1!BA25,"AAAAABlr500=")</f>
        <v>#VALUE!</v>
      </c>
      <c r="CA7" t="e">
        <f>AND(Sheet1!BB25,"AAAAABlr504=")</f>
        <v>#VALUE!</v>
      </c>
      <c r="CB7" t="e">
        <f>AND(Sheet1!BC25,"AAAAABlr508=")</f>
        <v>#VALUE!</v>
      </c>
      <c r="CC7" t="e">
        <f>AND(Sheet1!BD25,"AAAAABlr51A=")</f>
        <v>#VALUE!</v>
      </c>
      <c r="CD7" t="e">
        <f>AND(Sheet1!BE25,"AAAAABlr51E=")</f>
        <v>#VALUE!</v>
      </c>
      <c r="CE7" t="b">
        <f>AND(Sheet1!BF25,"AAAAABlr51I=")</f>
        <v>0</v>
      </c>
      <c r="CF7" t="e">
        <f>AND(Sheet1!BG25,"AAAAABlr51M=")</f>
        <v>#VALUE!</v>
      </c>
      <c r="CG7" t="e">
        <f>AND(Sheet1!BH25,"AAAAABlr51Q=")</f>
        <v>#VALUE!</v>
      </c>
      <c r="CH7" t="e">
        <f>AND(Sheet1!BI25,"AAAAABlr51U=")</f>
        <v>#VALUE!</v>
      </c>
      <c r="CI7" t="e">
        <f>AND(Sheet1!BJ25,"AAAAABlr51Y=")</f>
        <v>#VALUE!</v>
      </c>
      <c r="CJ7" t="e">
        <f>AND(Sheet1!BK25,"AAAAABlr51c=")</f>
        <v>#VALUE!</v>
      </c>
      <c r="CK7" t="e">
        <f>AND(Sheet1!BL25,"AAAAABlr51g=")</f>
        <v>#VALUE!</v>
      </c>
      <c r="CL7">
        <f>IF(Sheet1!26:26,"AAAAABlr51k=",0)</f>
        <v>0</v>
      </c>
      <c r="CM7" t="e">
        <f>AND(Sheet1!A26,"AAAAABlr51o=")</f>
        <v>#VALUE!</v>
      </c>
      <c r="CN7" t="e">
        <f>AND(Sheet1!B26,"AAAAABlr51s=")</f>
        <v>#VALUE!</v>
      </c>
      <c r="CO7" t="e">
        <f>AND(Sheet1!C26,"AAAAABlr51w=")</f>
        <v>#VALUE!</v>
      </c>
      <c r="CP7" t="e">
        <f>AND(Sheet1!D26,"AAAAABlr510=")</f>
        <v>#VALUE!</v>
      </c>
      <c r="CQ7" t="e">
        <f>AND(Sheet1!E26,"AAAAABlr514=")</f>
        <v>#VALUE!</v>
      </c>
      <c r="CR7" t="e">
        <f>AND(Sheet1!F26,"AAAAABlr518=")</f>
        <v>#VALUE!</v>
      </c>
      <c r="CS7" t="e">
        <f>AND(Sheet1!G26,"AAAAABlr52A=")</f>
        <v>#VALUE!</v>
      </c>
      <c r="CT7" t="e">
        <f>AND(Sheet1!H26,"AAAAABlr52E=")</f>
        <v>#VALUE!</v>
      </c>
      <c r="CU7" t="e">
        <f>AND(Sheet1!I26,"AAAAABlr52I=")</f>
        <v>#VALUE!</v>
      </c>
      <c r="CV7" t="e">
        <f>AND(Sheet1!J26,"AAAAABlr52M=")</f>
        <v>#VALUE!</v>
      </c>
      <c r="CW7" t="e">
        <f>AND(Sheet1!K26,"AAAAABlr52Q=")</f>
        <v>#VALUE!</v>
      </c>
      <c r="CX7" t="e">
        <f>AND(Sheet1!L26,"AAAAABlr52U=")</f>
        <v>#VALUE!</v>
      </c>
      <c r="CY7" t="e">
        <f>AND(Sheet1!M26,"AAAAABlr52Y=")</f>
        <v>#VALUE!</v>
      </c>
      <c r="CZ7" t="e">
        <f>AND(Sheet1!N26,"AAAAABlr52c=")</f>
        <v>#VALUE!</v>
      </c>
      <c r="DA7" t="e">
        <f>AND(Sheet1!O26,"AAAAABlr52g=")</f>
        <v>#VALUE!</v>
      </c>
      <c r="DB7" t="e">
        <f>AND(Sheet1!P26,"AAAAABlr52k=")</f>
        <v>#VALUE!</v>
      </c>
      <c r="DC7" t="e">
        <f>AND(Sheet1!Q26,"AAAAABlr52o=")</f>
        <v>#VALUE!</v>
      </c>
      <c r="DD7" t="e">
        <f>AND(Sheet1!R26,"AAAAABlr52s=")</f>
        <v>#VALUE!</v>
      </c>
      <c r="DE7" t="e">
        <f>AND(Sheet1!S26,"AAAAABlr52w=")</f>
        <v>#VALUE!</v>
      </c>
      <c r="DF7" t="e">
        <f>AND(Sheet1!T26,"AAAAABlr520=")</f>
        <v>#VALUE!</v>
      </c>
      <c r="DG7" t="e">
        <f>AND(Sheet1!U26,"AAAAABlr524=")</f>
        <v>#VALUE!</v>
      </c>
      <c r="DH7" t="e">
        <f>AND(Sheet1!V26,"AAAAABlr528=")</f>
        <v>#VALUE!</v>
      </c>
      <c r="DI7" t="e">
        <f>AND(Sheet1!W26,"AAAAABlr53A=")</f>
        <v>#VALUE!</v>
      </c>
      <c r="DJ7" t="e">
        <f>AND(Sheet1!X26,"AAAAABlr53E=")</f>
        <v>#VALUE!</v>
      </c>
      <c r="DK7" t="e">
        <f>AND(Sheet1!Y26,"AAAAABlr53I=")</f>
        <v>#VALUE!</v>
      </c>
      <c r="DL7" t="e">
        <f>AND(Sheet1!Z26,"AAAAABlr53M=")</f>
        <v>#VALUE!</v>
      </c>
      <c r="DM7" t="e">
        <f>AND(Sheet1!AA26,"AAAAABlr53Q=")</f>
        <v>#VALUE!</v>
      </c>
      <c r="DN7" t="e">
        <f>AND(Sheet1!AB26,"AAAAABlr53U=")</f>
        <v>#VALUE!</v>
      </c>
      <c r="DO7" t="e">
        <f>AND(Sheet1!AC26,"AAAAABlr53Y=")</f>
        <v>#VALUE!</v>
      </c>
      <c r="DP7" t="e">
        <f>AND(Sheet1!AD26,"AAAAABlr53c=")</f>
        <v>#VALUE!</v>
      </c>
      <c r="DQ7" t="e">
        <f>AND(Sheet1!AE26,"AAAAABlr53g=")</f>
        <v>#VALUE!</v>
      </c>
      <c r="DR7" t="e">
        <f>AND(Sheet1!AF26,"AAAAABlr53k=")</f>
        <v>#VALUE!</v>
      </c>
      <c r="DS7" t="e">
        <f>AND(Sheet1!AG26,"AAAAABlr53o=")</f>
        <v>#VALUE!</v>
      </c>
      <c r="DT7" t="e">
        <f>AND(Sheet1!AH26,"AAAAABlr53s=")</f>
        <v>#VALUE!</v>
      </c>
      <c r="DU7" t="e">
        <f>AND(Sheet1!AI26,"AAAAABlr53w=")</f>
        <v>#VALUE!</v>
      </c>
      <c r="DV7" t="e">
        <f>AND(Sheet1!AJ26,"AAAAABlr530=")</f>
        <v>#VALUE!</v>
      </c>
      <c r="DW7" t="e">
        <f>AND(Sheet1!AK26,"AAAAABlr534=")</f>
        <v>#VALUE!</v>
      </c>
      <c r="DX7" t="e">
        <f>AND(Sheet1!AL26,"AAAAABlr538=")</f>
        <v>#VALUE!</v>
      </c>
      <c r="DY7" t="e">
        <f>AND(Sheet1!AM26,"AAAAABlr54A=")</f>
        <v>#VALUE!</v>
      </c>
      <c r="DZ7" t="e">
        <f>AND(Sheet1!AN26,"AAAAABlr54E=")</f>
        <v>#VALUE!</v>
      </c>
      <c r="EA7" t="e">
        <f>AND(Sheet1!AO26,"AAAAABlr54I=")</f>
        <v>#VALUE!</v>
      </c>
      <c r="EB7" t="e">
        <f>AND(Sheet1!AP26,"AAAAABlr54M=")</f>
        <v>#VALUE!</v>
      </c>
      <c r="EC7" t="e">
        <f>AND(Sheet1!AQ26,"AAAAABlr54Q=")</f>
        <v>#VALUE!</v>
      </c>
      <c r="ED7" t="e">
        <f>AND(Sheet1!AR26,"AAAAABlr54U=")</f>
        <v>#VALUE!</v>
      </c>
      <c r="EE7" t="e">
        <f>AND(Sheet1!AS26,"AAAAABlr54Y=")</f>
        <v>#VALUE!</v>
      </c>
      <c r="EF7" t="e">
        <f>AND(Sheet1!AT26,"AAAAABlr54c=")</f>
        <v>#VALUE!</v>
      </c>
      <c r="EG7" t="e">
        <f>AND(Sheet1!AU26,"AAAAABlr54g=")</f>
        <v>#VALUE!</v>
      </c>
      <c r="EH7" t="e">
        <f>AND(Sheet1!AV26,"AAAAABlr54k=")</f>
        <v>#VALUE!</v>
      </c>
      <c r="EI7" t="e">
        <f>AND(Sheet1!AW26,"AAAAABlr54o=")</f>
        <v>#VALUE!</v>
      </c>
      <c r="EJ7" t="e">
        <f>AND(Sheet1!AX26,"AAAAABlr54s=")</f>
        <v>#VALUE!</v>
      </c>
      <c r="EK7" t="e">
        <f>AND(Sheet1!AY26,"AAAAABlr54w=")</f>
        <v>#VALUE!</v>
      </c>
      <c r="EL7" t="e">
        <f>AND(Sheet1!AZ26,"AAAAABlr540=")</f>
        <v>#VALUE!</v>
      </c>
      <c r="EM7" t="e">
        <f>AND(Sheet1!BA26,"AAAAABlr544=")</f>
        <v>#VALUE!</v>
      </c>
      <c r="EN7" t="e">
        <f>AND(Sheet1!BB26,"AAAAABlr548=")</f>
        <v>#VALUE!</v>
      </c>
      <c r="EO7" t="e">
        <f>AND(Sheet1!BC26,"AAAAABlr55A=")</f>
        <v>#VALUE!</v>
      </c>
      <c r="EP7" t="e">
        <f>AND(Sheet1!BD26,"AAAAABlr55E=")</f>
        <v>#VALUE!</v>
      </c>
      <c r="EQ7" t="e">
        <f>AND(Sheet1!BE26,"AAAAABlr55I=")</f>
        <v>#VALUE!</v>
      </c>
      <c r="ER7" t="b">
        <f>AND(Sheet1!BF26,"AAAAABlr55M=")</f>
        <v>0</v>
      </c>
      <c r="ES7" t="e">
        <f>AND(Sheet1!BG26,"AAAAABlr55Q=")</f>
        <v>#VALUE!</v>
      </c>
      <c r="ET7" t="e">
        <f>AND(Sheet1!BH26,"AAAAABlr55U=")</f>
        <v>#VALUE!</v>
      </c>
      <c r="EU7" t="e">
        <f>AND(Sheet1!BI26,"AAAAABlr55Y=")</f>
        <v>#VALUE!</v>
      </c>
      <c r="EV7" t="e">
        <f>AND(Sheet1!BJ26,"AAAAABlr55c=")</f>
        <v>#VALUE!</v>
      </c>
      <c r="EW7" t="e">
        <f>AND(Sheet1!BK26,"AAAAABlr55g=")</f>
        <v>#VALUE!</v>
      </c>
      <c r="EX7" t="e">
        <f>AND(Sheet1!BL26,"AAAAABlr55k=")</f>
        <v>#VALUE!</v>
      </c>
      <c r="EY7">
        <f>IF(Sheet1!27:27,"AAAAABlr55o=",0)</f>
        <v>0</v>
      </c>
      <c r="EZ7" t="e">
        <f>AND(Sheet1!A27,"AAAAABlr55s=")</f>
        <v>#VALUE!</v>
      </c>
      <c r="FA7" t="e">
        <f>AND(Sheet1!B27,"AAAAABlr55w=")</f>
        <v>#VALUE!</v>
      </c>
      <c r="FB7" t="e">
        <f>AND(Sheet1!C27,"AAAAABlr550=")</f>
        <v>#VALUE!</v>
      </c>
      <c r="FC7" t="e">
        <f>AND(Sheet1!D27,"AAAAABlr554=")</f>
        <v>#VALUE!</v>
      </c>
      <c r="FD7" t="e">
        <f>AND(Sheet1!E27,"AAAAABlr558=")</f>
        <v>#VALUE!</v>
      </c>
      <c r="FE7" t="e">
        <f>AND(Sheet1!F27,"AAAAABlr56A=")</f>
        <v>#VALUE!</v>
      </c>
      <c r="FF7" t="e">
        <f>AND(Sheet1!G27,"AAAAABlr56E=")</f>
        <v>#VALUE!</v>
      </c>
      <c r="FG7" t="e">
        <f>AND(Sheet1!H27,"AAAAABlr56I=")</f>
        <v>#VALUE!</v>
      </c>
      <c r="FH7" t="e">
        <f>AND(Sheet1!I27,"AAAAABlr56M=")</f>
        <v>#VALUE!</v>
      </c>
      <c r="FI7" t="e">
        <f>AND(Sheet1!J27,"AAAAABlr56Q=")</f>
        <v>#VALUE!</v>
      </c>
      <c r="FJ7" t="e">
        <f>AND(Sheet1!K27,"AAAAABlr56U=")</f>
        <v>#VALUE!</v>
      </c>
      <c r="FK7" t="e">
        <f>AND(Sheet1!L27,"AAAAABlr56Y=")</f>
        <v>#VALUE!</v>
      </c>
      <c r="FL7" t="e">
        <f>AND(Sheet1!M27,"AAAAABlr56c=")</f>
        <v>#VALUE!</v>
      </c>
      <c r="FM7" t="e">
        <f>AND(Sheet1!N27,"AAAAABlr56g=")</f>
        <v>#VALUE!</v>
      </c>
      <c r="FN7" t="e">
        <f>AND(Sheet1!O27,"AAAAABlr56k=")</f>
        <v>#VALUE!</v>
      </c>
      <c r="FO7" t="e">
        <f>AND(Sheet1!P27,"AAAAABlr56o=")</f>
        <v>#VALUE!</v>
      </c>
      <c r="FP7" t="e">
        <f>AND(Sheet1!Q27,"AAAAABlr56s=")</f>
        <v>#VALUE!</v>
      </c>
      <c r="FQ7" t="e">
        <f>AND(Sheet1!R27,"AAAAABlr56w=")</f>
        <v>#VALUE!</v>
      </c>
      <c r="FR7" t="e">
        <f>AND(Sheet1!S27,"AAAAABlr560=")</f>
        <v>#VALUE!</v>
      </c>
      <c r="FS7" t="e">
        <f>AND(Sheet1!T27,"AAAAABlr564=")</f>
        <v>#VALUE!</v>
      </c>
      <c r="FT7" t="e">
        <f>AND(Sheet1!U27,"AAAAABlr568=")</f>
        <v>#VALUE!</v>
      </c>
      <c r="FU7" t="e">
        <f>AND(Sheet1!V27,"AAAAABlr57A=")</f>
        <v>#VALUE!</v>
      </c>
      <c r="FV7" t="e">
        <f>AND(Sheet1!W27,"AAAAABlr57E=")</f>
        <v>#VALUE!</v>
      </c>
      <c r="FW7" t="e">
        <f>AND(Sheet1!X27,"AAAAABlr57I=")</f>
        <v>#VALUE!</v>
      </c>
      <c r="FX7" t="e">
        <f>AND(Sheet1!Y27,"AAAAABlr57M=")</f>
        <v>#VALUE!</v>
      </c>
      <c r="FY7" t="e">
        <f>AND(Sheet1!Z27,"AAAAABlr57Q=")</f>
        <v>#VALUE!</v>
      </c>
      <c r="FZ7" t="e">
        <f>AND(Sheet1!AA27,"AAAAABlr57U=")</f>
        <v>#VALUE!</v>
      </c>
      <c r="GA7" t="e">
        <f>AND(Sheet1!AB27,"AAAAABlr57Y=")</f>
        <v>#VALUE!</v>
      </c>
      <c r="GB7" t="e">
        <f>AND(Sheet1!AC27,"AAAAABlr57c=")</f>
        <v>#VALUE!</v>
      </c>
      <c r="GC7" t="e">
        <f>AND(Sheet1!AD27,"AAAAABlr57g=")</f>
        <v>#VALUE!</v>
      </c>
      <c r="GD7" t="e">
        <f>AND(Sheet1!AE27,"AAAAABlr57k=")</f>
        <v>#VALUE!</v>
      </c>
      <c r="GE7" t="e">
        <f>AND(Sheet1!AF27,"AAAAABlr57o=")</f>
        <v>#VALUE!</v>
      </c>
      <c r="GF7" t="e">
        <f>AND(Sheet1!AG27,"AAAAABlr57s=")</f>
        <v>#VALUE!</v>
      </c>
      <c r="GG7" t="e">
        <f>AND(Sheet1!AH27,"AAAAABlr57w=")</f>
        <v>#VALUE!</v>
      </c>
      <c r="GH7" t="e">
        <f>AND(Sheet1!AI27,"AAAAABlr570=")</f>
        <v>#VALUE!</v>
      </c>
      <c r="GI7" t="e">
        <f>AND(Sheet1!AJ27,"AAAAABlr574=")</f>
        <v>#VALUE!</v>
      </c>
      <c r="GJ7" t="e">
        <f>AND(Sheet1!AK27,"AAAAABlr578=")</f>
        <v>#VALUE!</v>
      </c>
      <c r="GK7" t="e">
        <f>AND(Sheet1!AL27,"AAAAABlr58A=")</f>
        <v>#VALUE!</v>
      </c>
      <c r="GL7" t="e">
        <f>AND(Sheet1!AM27,"AAAAABlr58E=")</f>
        <v>#VALUE!</v>
      </c>
      <c r="GM7" t="e">
        <f>AND(Sheet1!AN27,"AAAAABlr58I=")</f>
        <v>#VALUE!</v>
      </c>
      <c r="GN7" t="e">
        <f>AND(Sheet1!AO27,"AAAAABlr58M=")</f>
        <v>#VALUE!</v>
      </c>
      <c r="GO7" t="e">
        <f>AND(Sheet1!AP27,"AAAAABlr58Q=")</f>
        <v>#VALUE!</v>
      </c>
      <c r="GP7" t="e">
        <f>AND(Sheet1!AQ27,"AAAAABlr58U=")</f>
        <v>#VALUE!</v>
      </c>
      <c r="GQ7" t="e">
        <f>AND(Sheet1!AR27,"AAAAABlr58Y=")</f>
        <v>#VALUE!</v>
      </c>
      <c r="GR7" t="e">
        <f>AND(Sheet1!AS27,"AAAAABlr58c=")</f>
        <v>#VALUE!</v>
      </c>
      <c r="GS7" t="e">
        <f>AND(Sheet1!AT27,"AAAAABlr58g=")</f>
        <v>#VALUE!</v>
      </c>
      <c r="GT7" t="e">
        <f>AND(Sheet1!AU27,"AAAAABlr58k=")</f>
        <v>#VALUE!</v>
      </c>
      <c r="GU7" t="e">
        <f>AND(Sheet1!AV27,"AAAAABlr58o=")</f>
        <v>#VALUE!</v>
      </c>
      <c r="GV7" t="e">
        <f>AND(Sheet1!AW27,"AAAAABlr58s=")</f>
        <v>#VALUE!</v>
      </c>
      <c r="GW7" t="e">
        <f>AND(Sheet1!AX27,"AAAAABlr58w=")</f>
        <v>#VALUE!</v>
      </c>
      <c r="GX7" t="e">
        <f>AND(Sheet1!AY27,"AAAAABlr580=")</f>
        <v>#VALUE!</v>
      </c>
      <c r="GY7" t="e">
        <f>AND(Sheet1!AZ27,"AAAAABlr584=")</f>
        <v>#VALUE!</v>
      </c>
      <c r="GZ7" t="e">
        <f>AND(Sheet1!BA27,"AAAAABlr588=")</f>
        <v>#VALUE!</v>
      </c>
      <c r="HA7" t="e">
        <f>AND(Sheet1!BB27,"AAAAABlr59A=")</f>
        <v>#VALUE!</v>
      </c>
      <c r="HB7" t="e">
        <f>AND(Sheet1!BC27,"AAAAABlr59E=")</f>
        <v>#VALUE!</v>
      </c>
      <c r="HC7" t="e">
        <f>AND(Sheet1!BD27,"AAAAABlr59I=")</f>
        <v>#VALUE!</v>
      </c>
      <c r="HD7" t="e">
        <f>AND(Sheet1!BE27,"AAAAABlr59M=")</f>
        <v>#VALUE!</v>
      </c>
      <c r="HE7" t="b">
        <f>AND(Sheet1!BF27,"AAAAABlr59Q=")</f>
        <v>0</v>
      </c>
      <c r="HF7" t="e">
        <f>AND(Sheet1!BG27,"AAAAABlr59U=")</f>
        <v>#VALUE!</v>
      </c>
      <c r="HG7" t="e">
        <f>AND(Sheet1!BH27,"AAAAABlr59Y=")</f>
        <v>#VALUE!</v>
      </c>
      <c r="HH7" t="e">
        <f>AND(Sheet1!BI27,"AAAAABlr59c=")</f>
        <v>#VALUE!</v>
      </c>
      <c r="HI7" t="e">
        <f>AND(Sheet1!BJ27,"AAAAABlr59g=")</f>
        <v>#VALUE!</v>
      </c>
      <c r="HJ7" t="e">
        <f>AND(Sheet1!BK27,"AAAAABlr59k=")</f>
        <v>#VALUE!</v>
      </c>
      <c r="HK7" t="e">
        <f>AND(Sheet1!BL27,"AAAAABlr59o=")</f>
        <v>#VALUE!</v>
      </c>
      <c r="HL7">
        <f>IF(Sheet1!28:28,"AAAAABlr59s=",0)</f>
        <v>0</v>
      </c>
      <c r="HM7" t="e">
        <f>AND(Sheet1!A28,"AAAAABlr59w=")</f>
        <v>#VALUE!</v>
      </c>
      <c r="HN7" t="e">
        <f>AND(Sheet1!B28,"AAAAABlr590=")</f>
        <v>#VALUE!</v>
      </c>
      <c r="HO7" t="e">
        <f>AND(Sheet1!C28,"AAAAABlr594=")</f>
        <v>#VALUE!</v>
      </c>
      <c r="HP7" t="e">
        <f>AND(Sheet1!D28,"AAAAABlr598=")</f>
        <v>#VALUE!</v>
      </c>
      <c r="HQ7" t="e">
        <f>AND(Sheet1!E28,"AAAAABlr5+A=")</f>
        <v>#VALUE!</v>
      </c>
      <c r="HR7" t="e">
        <f>AND(Sheet1!F28,"AAAAABlr5+E=")</f>
        <v>#VALUE!</v>
      </c>
      <c r="HS7" t="e">
        <f>AND(Sheet1!G28,"AAAAABlr5+I=")</f>
        <v>#VALUE!</v>
      </c>
      <c r="HT7" t="e">
        <f>AND(Sheet1!H28,"AAAAABlr5+M=")</f>
        <v>#VALUE!</v>
      </c>
      <c r="HU7" t="e">
        <f>AND(Sheet1!I28,"AAAAABlr5+Q=")</f>
        <v>#VALUE!</v>
      </c>
      <c r="HV7" t="e">
        <f>AND(Sheet1!J28,"AAAAABlr5+U=")</f>
        <v>#VALUE!</v>
      </c>
      <c r="HW7" t="e">
        <f>AND(Sheet1!K28,"AAAAABlr5+Y=")</f>
        <v>#VALUE!</v>
      </c>
      <c r="HX7" t="e">
        <f>AND(Sheet1!L28,"AAAAABlr5+c=")</f>
        <v>#VALUE!</v>
      </c>
      <c r="HY7" t="e">
        <f>AND(Sheet1!M28,"AAAAABlr5+g=")</f>
        <v>#VALUE!</v>
      </c>
      <c r="HZ7" t="e">
        <f>AND(Sheet1!N28,"AAAAABlr5+k=")</f>
        <v>#VALUE!</v>
      </c>
      <c r="IA7" t="e">
        <f>AND(Sheet1!O28,"AAAAABlr5+o=")</f>
        <v>#VALUE!</v>
      </c>
      <c r="IB7" t="e">
        <f>AND(Sheet1!P28,"AAAAABlr5+s=")</f>
        <v>#VALUE!</v>
      </c>
      <c r="IC7" t="e">
        <f>AND(Sheet1!Q28,"AAAAABlr5+w=")</f>
        <v>#VALUE!</v>
      </c>
      <c r="ID7" t="e">
        <f>AND(Sheet1!R28,"AAAAABlr5+0=")</f>
        <v>#VALUE!</v>
      </c>
      <c r="IE7" t="e">
        <f>AND(Sheet1!S28,"AAAAABlr5+4=")</f>
        <v>#VALUE!</v>
      </c>
      <c r="IF7" t="e">
        <f>AND(Sheet1!T28,"AAAAABlr5+8=")</f>
        <v>#VALUE!</v>
      </c>
      <c r="IG7" t="e">
        <f>AND(Sheet1!U28,"AAAAABlr5/A=")</f>
        <v>#VALUE!</v>
      </c>
      <c r="IH7" t="e">
        <f>AND(Sheet1!V28,"AAAAABlr5/E=")</f>
        <v>#VALUE!</v>
      </c>
      <c r="II7" t="e">
        <f>AND(Sheet1!W28,"AAAAABlr5/I=")</f>
        <v>#VALUE!</v>
      </c>
      <c r="IJ7" t="e">
        <f>AND(Sheet1!X28,"AAAAABlr5/M=")</f>
        <v>#VALUE!</v>
      </c>
      <c r="IK7" t="e">
        <f>AND(Sheet1!Y28,"AAAAABlr5/Q=")</f>
        <v>#VALUE!</v>
      </c>
      <c r="IL7" t="e">
        <f>AND(Sheet1!Z28,"AAAAABlr5/U=")</f>
        <v>#VALUE!</v>
      </c>
      <c r="IM7" t="e">
        <f>AND(Sheet1!AA28,"AAAAABlr5/Y=")</f>
        <v>#VALUE!</v>
      </c>
      <c r="IN7" t="e">
        <f>AND(Sheet1!AB28,"AAAAABlr5/c=")</f>
        <v>#VALUE!</v>
      </c>
      <c r="IO7" t="e">
        <f>AND(Sheet1!AC28,"AAAAABlr5/g=")</f>
        <v>#VALUE!</v>
      </c>
      <c r="IP7" t="e">
        <f>AND(Sheet1!AD28,"AAAAABlr5/k=")</f>
        <v>#VALUE!</v>
      </c>
      <c r="IQ7" t="e">
        <f>AND(Sheet1!AE28,"AAAAABlr5/o=")</f>
        <v>#VALUE!</v>
      </c>
      <c r="IR7" t="e">
        <f>AND(Sheet1!AF28,"AAAAABlr5/s=")</f>
        <v>#VALUE!</v>
      </c>
      <c r="IS7" t="e">
        <f>AND(Sheet1!AG28,"AAAAABlr5/w=")</f>
        <v>#VALUE!</v>
      </c>
      <c r="IT7" t="e">
        <f>AND(Sheet1!AH28,"AAAAABlr5/0=")</f>
        <v>#VALUE!</v>
      </c>
      <c r="IU7" t="e">
        <f>AND(Sheet1!AI28,"AAAAABlr5/4=")</f>
        <v>#VALUE!</v>
      </c>
      <c r="IV7" t="e">
        <f>AND(Sheet1!AJ28,"AAAAABlr5/8=")</f>
        <v>#VALUE!</v>
      </c>
    </row>
    <row r="8" spans="1:256" ht="12.75">
      <c r="A8" t="e">
        <f>AND(Sheet1!AK28,"AAAAAH2f8gA=")</f>
        <v>#VALUE!</v>
      </c>
      <c r="B8" t="e">
        <f>AND(Sheet1!AL28,"AAAAAH2f8gE=")</f>
        <v>#VALUE!</v>
      </c>
      <c r="C8" t="e">
        <f>AND(Sheet1!AM28,"AAAAAH2f8gI=")</f>
        <v>#VALUE!</v>
      </c>
      <c r="D8" t="e">
        <f>AND(Sheet1!AN28,"AAAAAH2f8gM=")</f>
        <v>#VALUE!</v>
      </c>
      <c r="E8" t="e">
        <f>AND(Sheet1!AO28,"AAAAAH2f8gQ=")</f>
        <v>#VALUE!</v>
      </c>
      <c r="F8" t="e">
        <f>AND(Sheet1!AP28,"AAAAAH2f8gU=")</f>
        <v>#VALUE!</v>
      </c>
      <c r="G8" t="e">
        <f>AND(Sheet1!AQ28,"AAAAAH2f8gY=")</f>
        <v>#VALUE!</v>
      </c>
      <c r="H8" t="e">
        <f>AND(Sheet1!AR28,"AAAAAH2f8gc=")</f>
        <v>#VALUE!</v>
      </c>
      <c r="I8" t="e">
        <f>AND(Sheet1!AS28,"AAAAAH2f8gg=")</f>
        <v>#VALUE!</v>
      </c>
      <c r="J8" t="e">
        <f>AND(Sheet1!AT28,"AAAAAH2f8gk=")</f>
        <v>#VALUE!</v>
      </c>
      <c r="K8" t="e">
        <f>AND(Sheet1!AU28,"AAAAAH2f8go=")</f>
        <v>#VALUE!</v>
      </c>
      <c r="L8" t="e">
        <f>AND(Sheet1!AV28,"AAAAAH2f8gs=")</f>
        <v>#VALUE!</v>
      </c>
      <c r="M8" t="e">
        <f>AND(Sheet1!AW28,"AAAAAH2f8gw=")</f>
        <v>#VALUE!</v>
      </c>
      <c r="N8" t="e">
        <f>AND(Sheet1!AX28,"AAAAAH2f8g0=")</f>
        <v>#VALUE!</v>
      </c>
      <c r="O8" t="e">
        <f>AND(Sheet1!AY28,"AAAAAH2f8g4=")</f>
        <v>#VALUE!</v>
      </c>
      <c r="P8" t="e">
        <f>AND(Sheet1!AZ28,"AAAAAH2f8g8=")</f>
        <v>#VALUE!</v>
      </c>
      <c r="Q8" t="e">
        <f>AND(Sheet1!BA28,"AAAAAH2f8hA=")</f>
        <v>#VALUE!</v>
      </c>
      <c r="R8" t="e">
        <f>AND(Sheet1!BB28,"AAAAAH2f8hE=")</f>
        <v>#VALUE!</v>
      </c>
      <c r="S8" t="e">
        <f>AND(Sheet1!BC28,"AAAAAH2f8hI=")</f>
        <v>#VALUE!</v>
      </c>
      <c r="T8" t="e">
        <f>AND(Sheet1!BD28,"AAAAAH2f8hM=")</f>
        <v>#VALUE!</v>
      </c>
      <c r="U8" t="e">
        <f>AND(Sheet1!BE28,"AAAAAH2f8hQ=")</f>
        <v>#VALUE!</v>
      </c>
      <c r="V8" t="b">
        <f>AND(Sheet1!BF28,"AAAAAH2f8hU=")</f>
        <v>0</v>
      </c>
      <c r="W8" t="e">
        <f>AND(Sheet1!BG28,"AAAAAH2f8hY=")</f>
        <v>#VALUE!</v>
      </c>
      <c r="X8" t="e">
        <f>AND(Sheet1!BH28,"AAAAAH2f8hc=")</f>
        <v>#VALUE!</v>
      </c>
      <c r="Y8" t="e">
        <f>AND(Sheet1!BI28,"AAAAAH2f8hg=")</f>
        <v>#VALUE!</v>
      </c>
      <c r="Z8" t="e">
        <f>AND(Sheet1!BJ28,"AAAAAH2f8hk=")</f>
        <v>#VALUE!</v>
      </c>
      <c r="AA8" t="e">
        <f>AND(Sheet1!BK28,"AAAAAH2f8ho=")</f>
        <v>#VALUE!</v>
      </c>
      <c r="AB8" t="e">
        <f>AND(Sheet1!BL28,"AAAAAH2f8hs=")</f>
        <v>#VALUE!</v>
      </c>
      <c r="AC8">
        <f>IF(Sheet1!29:29,"AAAAAH2f8hw=",0)</f>
        <v>0</v>
      </c>
      <c r="AD8" t="e">
        <f>AND(Sheet1!A29,"AAAAAH2f8h0=")</f>
        <v>#VALUE!</v>
      </c>
      <c r="AE8" t="e">
        <f>AND(Sheet1!B29,"AAAAAH2f8h4=")</f>
        <v>#VALUE!</v>
      </c>
      <c r="AF8" t="e">
        <f>AND(Sheet1!C29,"AAAAAH2f8h8=")</f>
        <v>#VALUE!</v>
      </c>
      <c r="AG8" t="e">
        <f>AND(Sheet1!D29,"AAAAAH2f8iA=")</f>
        <v>#VALUE!</v>
      </c>
      <c r="AH8" t="e">
        <f>AND(Sheet1!E29,"AAAAAH2f8iE=")</f>
        <v>#VALUE!</v>
      </c>
      <c r="AI8" t="e">
        <f>AND(Sheet1!F29,"AAAAAH2f8iI=")</f>
        <v>#VALUE!</v>
      </c>
      <c r="AJ8" t="e">
        <f>AND(Sheet1!G29,"AAAAAH2f8iM=")</f>
        <v>#VALUE!</v>
      </c>
      <c r="AK8" t="e">
        <f>AND(Sheet1!H29,"AAAAAH2f8iQ=")</f>
        <v>#VALUE!</v>
      </c>
      <c r="AL8" t="e">
        <f>AND(Sheet1!I29,"AAAAAH2f8iU=")</f>
        <v>#VALUE!</v>
      </c>
      <c r="AM8" t="e">
        <f>AND(Sheet1!J29,"AAAAAH2f8iY=")</f>
        <v>#VALUE!</v>
      </c>
      <c r="AN8" t="e">
        <f>AND(Sheet1!K29,"AAAAAH2f8ic=")</f>
        <v>#VALUE!</v>
      </c>
      <c r="AO8" t="e">
        <f>AND(Sheet1!L29,"AAAAAH2f8ig=")</f>
        <v>#VALUE!</v>
      </c>
      <c r="AP8" t="e">
        <f>AND(Sheet1!M29,"AAAAAH2f8ik=")</f>
        <v>#VALUE!</v>
      </c>
      <c r="AQ8" t="e">
        <f>AND(Sheet1!N29,"AAAAAH2f8io=")</f>
        <v>#VALUE!</v>
      </c>
      <c r="AR8" t="e">
        <f>AND(Sheet1!O29,"AAAAAH2f8is=")</f>
        <v>#VALUE!</v>
      </c>
      <c r="AS8" t="e">
        <f>AND(Sheet1!P29,"AAAAAH2f8iw=")</f>
        <v>#VALUE!</v>
      </c>
      <c r="AT8" t="e">
        <f>AND(Sheet1!Q29,"AAAAAH2f8i0=")</f>
        <v>#VALUE!</v>
      </c>
      <c r="AU8" t="e">
        <f>AND(Sheet1!R29,"AAAAAH2f8i4=")</f>
        <v>#VALUE!</v>
      </c>
      <c r="AV8" t="e">
        <f>AND(Sheet1!S29,"AAAAAH2f8i8=")</f>
        <v>#VALUE!</v>
      </c>
      <c r="AW8" t="e">
        <f>AND(Sheet1!T29,"AAAAAH2f8jA=")</f>
        <v>#VALUE!</v>
      </c>
      <c r="AX8" t="e">
        <f>AND(Sheet1!U29,"AAAAAH2f8jE=")</f>
        <v>#VALUE!</v>
      </c>
      <c r="AY8" t="e">
        <f>AND(Sheet1!V29,"AAAAAH2f8jI=")</f>
        <v>#VALUE!</v>
      </c>
      <c r="AZ8" t="e">
        <f>AND(Sheet1!W29,"AAAAAH2f8jM=")</f>
        <v>#VALUE!</v>
      </c>
      <c r="BA8" t="e">
        <f>AND(Sheet1!X29,"AAAAAH2f8jQ=")</f>
        <v>#VALUE!</v>
      </c>
      <c r="BB8" t="e">
        <f>AND(Sheet1!Y29,"AAAAAH2f8jU=")</f>
        <v>#VALUE!</v>
      </c>
      <c r="BC8" t="e">
        <f>AND(Sheet1!Z29,"AAAAAH2f8jY=")</f>
        <v>#VALUE!</v>
      </c>
      <c r="BD8" t="e">
        <f>AND(Sheet1!AA29,"AAAAAH2f8jc=")</f>
        <v>#VALUE!</v>
      </c>
      <c r="BE8" t="e">
        <f>AND(Sheet1!AB29,"AAAAAH2f8jg=")</f>
        <v>#VALUE!</v>
      </c>
      <c r="BF8" t="e">
        <f>AND(Sheet1!AC29,"AAAAAH2f8jk=")</f>
        <v>#VALUE!</v>
      </c>
      <c r="BG8" t="e">
        <f>AND(Sheet1!AD29,"AAAAAH2f8jo=")</f>
        <v>#VALUE!</v>
      </c>
      <c r="BH8" t="e">
        <f>AND(Sheet1!AE29,"AAAAAH2f8js=")</f>
        <v>#VALUE!</v>
      </c>
      <c r="BI8" t="e">
        <f>AND(Sheet1!AF29,"AAAAAH2f8jw=")</f>
        <v>#VALUE!</v>
      </c>
      <c r="BJ8" t="e">
        <f>AND(Sheet1!AG29,"AAAAAH2f8j0=")</f>
        <v>#VALUE!</v>
      </c>
      <c r="BK8" t="e">
        <f>AND(Sheet1!AH29,"AAAAAH2f8j4=")</f>
        <v>#VALUE!</v>
      </c>
      <c r="BL8" t="e">
        <f>AND(Sheet1!AI29,"AAAAAH2f8j8=")</f>
        <v>#VALUE!</v>
      </c>
      <c r="BM8" t="e">
        <f>AND(Sheet1!AJ29,"AAAAAH2f8kA=")</f>
        <v>#VALUE!</v>
      </c>
      <c r="BN8" t="e">
        <f>AND(Sheet1!AK29,"AAAAAH2f8kE=")</f>
        <v>#VALUE!</v>
      </c>
      <c r="BO8" t="e">
        <f>AND(Sheet1!AL29,"AAAAAH2f8kI=")</f>
        <v>#VALUE!</v>
      </c>
      <c r="BP8" t="e">
        <f>AND(Sheet1!AM29,"AAAAAH2f8kM=")</f>
        <v>#VALUE!</v>
      </c>
      <c r="BQ8" t="e">
        <f>AND(Sheet1!AN29,"AAAAAH2f8kQ=")</f>
        <v>#VALUE!</v>
      </c>
      <c r="BR8" t="e">
        <f>AND(Sheet1!AO29,"AAAAAH2f8kU=")</f>
        <v>#VALUE!</v>
      </c>
      <c r="BS8" t="e">
        <f>AND(Sheet1!AP29,"AAAAAH2f8kY=")</f>
        <v>#VALUE!</v>
      </c>
      <c r="BT8" t="e">
        <f>AND(Sheet1!AQ29,"AAAAAH2f8kc=")</f>
        <v>#VALUE!</v>
      </c>
      <c r="BU8" t="e">
        <f>AND(Sheet1!AR29,"AAAAAH2f8kg=")</f>
        <v>#VALUE!</v>
      </c>
      <c r="BV8" t="e">
        <f>AND(Sheet1!AS29,"AAAAAH2f8kk=")</f>
        <v>#VALUE!</v>
      </c>
      <c r="BW8" t="e">
        <f>AND(Sheet1!AT29,"AAAAAH2f8ko=")</f>
        <v>#VALUE!</v>
      </c>
      <c r="BX8" t="e">
        <f>AND(Sheet1!AU29,"AAAAAH2f8ks=")</f>
        <v>#VALUE!</v>
      </c>
      <c r="BY8" t="e">
        <f>AND(Sheet1!AV29,"AAAAAH2f8kw=")</f>
        <v>#VALUE!</v>
      </c>
      <c r="BZ8" t="e">
        <f>AND(Sheet1!AW29,"AAAAAH2f8k0=")</f>
        <v>#VALUE!</v>
      </c>
      <c r="CA8" t="e">
        <f>AND(Sheet1!AX29,"AAAAAH2f8k4=")</f>
        <v>#VALUE!</v>
      </c>
      <c r="CB8" t="e">
        <f>AND(Sheet1!AY29,"AAAAAH2f8k8=")</f>
        <v>#VALUE!</v>
      </c>
      <c r="CC8" t="e">
        <f>AND(Sheet1!AZ29,"AAAAAH2f8lA=")</f>
        <v>#VALUE!</v>
      </c>
      <c r="CD8" t="e">
        <f>AND(Sheet1!BA29,"AAAAAH2f8lE=")</f>
        <v>#VALUE!</v>
      </c>
      <c r="CE8" t="e">
        <f>AND(Sheet1!BB29,"AAAAAH2f8lI=")</f>
        <v>#VALUE!</v>
      </c>
      <c r="CF8" t="e">
        <f>AND(Sheet1!BC29,"AAAAAH2f8lM=")</f>
        <v>#VALUE!</v>
      </c>
      <c r="CG8" t="e">
        <f>AND(Sheet1!BD29,"AAAAAH2f8lQ=")</f>
        <v>#VALUE!</v>
      </c>
      <c r="CH8" t="e">
        <f>AND(Sheet1!BE29,"AAAAAH2f8lU=")</f>
        <v>#VALUE!</v>
      </c>
      <c r="CI8" t="b">
        <f>AND(Sheet1!BF29,"AAAAAH2f8lY=")</f>
        <v>0</v>
      </c>
      <c r="CJ8" t="e">
        <f>AND(Sheet1!BG29,"AAAAAH2f8lc=")</f>
        <v>#VALUE!</v>
      </c>
      <c r="CK8" t="e">
        <f>AND(Sheet1!BH29,"AAAAAH2f8lg=")</f>
        <v>#VALUE!</v>
      </c>
      <c r="CL8" t="e">
        <f>AND(Sheet1!BI29,"AAAAAH2f8lk=")</f>
        <v>#VALUE!</v>
      </c>
      <c r="CM8" t="e">
        <f>AND(Sheet1!BJ29,"AAAAAH2f8lo=")</f>
        <v>#VALUE!</v>
      </c>
      <c r="CN8" t="e">
        <f>AND(Sheet1!BK29,"AAAAAH2f8ls=")</f>
        <v>#VALUE!</v>
      </c>
      <c r="CO8" t="e">
        <f>AND(Sheet1!BL29,"AAAAAH2f8lw=")</f>
        <v>#VALUE!</v>
      </c>
      <c r="CP8">
        <f>IF(Sheet1!30:30,"AAAAAH2f8l0=",0)</f>
        <v>0</v>
      </c>
      <c r="CQ8" t="e">
        <f>AND(Sheet1!A30,"AAAAAH2f8l4=")</f>
        <v>#VALUE!</v>
      </c>
      <c r="CR8" t="e">
        <f>AND(Sheet1!B30,"AAAAAH2f8l8=")</f>
        <v>#VALUE!</v>
      </c>
      <c r="CS8" t="e">
        <f>AND(Sheet1!C30,"AAAAAH2f8mA=")</f>
        <v>#VALUE!</v>
      </c>
      <c r="CT8" t="e">
        <f>AND(Sheet1!D30,"AAAAAH2f8mE=")</f>
        <v>#VALUE!</v>
      </c>
      <c r="CU8" t="e">
        <f>AND(Sheet1!E30,"AAAAAH2f8mI=")</f>
        <v>#VALUE!</v>
      </c>
      <c r="CV8" t="e">
        <f>AND(Sheet1!F30,"AAAAAH2f8mM=")</f>
        <v>#VALUE!</v>
      </c>
      <c r="CW8" t="e">
        <f>AND(Sheet1!G30,"AAAAAH2f8mQ=")</f>
        <v>#VALUE!</v>
      </c>
      <c r="CX8" t="e">
        <f>AND(Sheet1!H30,"AAAAAH2f8mU=")</f>
        <v>#VALUE!</v>
      </c>
      <c r="CY8" t="e">
        <f>AND(Sheet1!I30,"AAAAAH2f8mY=")</f>
        <v>#VALUE!</v>
      </c>
      <c r="CZ8" t="e">
        <f>AND(Sheet1!J30,"AAAAAH2f8mc=")</f>
        <v>#VALUE!</v>
      </c>
      <c r="DA8" t="e">
        <f>AND(Sheet1!K30,"AAAAAH2f8mg=")</f>
        <v>#VALUE!</v>
      </c>
      <c r="DB8" t="e">
        <f>AND(Sheet1!L30,"AAAAAH2f8mk=")</f>
        <v>#VALUE!</v>
      </c>
      <c r="DC8" t="e">
        <f>AND(Sheet1!M30,"AAAAAH2f8mo=")</f>
        <v>#VALUE!</v>
      </c>
      <c r="DD8" t="e">
        <f>AND(Sheet1!N30,"AAAAAH2f8ms=")</f>
        <v>#VALUE!</v>
      </c>
      <c r="DE8" t="e">
        <f>AND(Sheet1!O30,"AAAAAH2f8mw=")</f>
        <v>#VALUE!</v>
      </c>
      <c r="DF8" t="e">
        <f>AND(Sheet1!P30,"AAAAAH2f8m0=")</f>
        <v>#VALUE!</v>
      </c>
      <c r="DG8" t="e">
        <f>AND(Sheet1!Q30,"AAAAAH2f8m4=")</f>
        <v>#VALUE!</v>
      </c>
      <c r="DH8" t="e">
        <f>AND(Sheet1!R30,"AAAAAH2f8m8=")</f>
        <v>#VALUE!</v>
      </c>
      <c r="DI8" t="e">
        <f>AND(Sheet1!S30,"AAAAAH2f8nA=")</f>
        <v>#VALUE!</v>
      </c>
      <c r="DJ8" t="e">
        <f>AND(Sheet1!T30,"AAAAAH2f8nE=")</f>
        <v>#VALUE!</v>
      </c>
      <c r="DK8" t="e">
        <f>AND(Sheet1!U30,"AAAAAH2f8nI=")</f>
        <v>#VALUE!</v>
      </c>
      <c r="DL8" t="e">
        <f>AND(Sheet1!V30,"AAAAAH2f8nM=")</f>
        <v>#VALUE!</v>
      </c>
      <c r="DM8" t="e">
        <f>AND(Sheet1!W30,"AAAAAH2f8nQ=")</f>
        <v>#VALUE!</v>
      </c>
      <c r="DN8" t="e">
        <f>AND(Sheet1!X30,"AAAAAH2f8nU=")</f>
        <v>#VALUE!</v>
      </c>
      <c r="DO8" t="e">
        <f>AND(Sheet1!Y30,"AAAAAH2f8nY=")</f>
        <v>#VALUE!</v>
      </c>
      <c r="DP8" t="e">
        <f>AND(Sheet1!Z30,"AAAAAH2f8nc=")</f>
        <v>#VALUE!</v>
      </c>
      <c r="DQ8" t="e">
        <f>AND(Sheet1!AA30,"AAAAAH2f8ng=")</f>
        <v>#VALUE!</v>
      </c>
      <c r="DR8" t="e">
        <f>AND(Sheet1!AB30,"AAAAAH2f8nk=")</f>
        <v>#VALUE!</v>
      </c>
      <c r="DS8" t="e">
        <f>AND(Sheet1!AC30,"AAAAAH2f8no=")</f>
        <v>#VALUE!</v>
      </c>
      <c r="DT8" t="e">
        <f>AND(Sheet1!AD30,"AAAAAH2f8ns=")</f>
        <v>#VALUE!</v>
      </c>
      <c r="DU8" t="e">
        <f>AND(Sheet1!AE30,"AAAAAH2f8nw=")</f>
        <v>#VALUE!</v>
      </c>
      <c r="DV8" t="e">
        <f>AND(Sheet1!AF30,"AAAAAH2f8n0=")</f>
        <v>#VALUE!</v>
      </c>
      <c r="DW8" t="e">
        <f>AND(Sheet1!AG30,"AAAAAH2f8n4=")</f>
        <v>#VALUE!</v>
      </c>
      <c r="DX8" t="e">
        <f>AND(Sheet1!AH30,"AAAAAH2f8n8=")</f>
        <v>#VALUE!</v>
      </c>
      <c r="DY8" t="e">
        <f>AND(Sheet1!AI30,"AAAAAH2f8oA=")</f>
        <v>#VALUE!</v>
      </c>
      <c r="DZ8" t="e">
        <f>AND(Sheet1!AJ30,"AAAAAH2f8oE=")</f>
        <v>#VALUE!</v>
      </c>
      <c r="EA8" t="e">
        <f>AND(Sheet1!AK30,"AAAAAH2f8oI=")</f>
        <v>#VALUE!</v>
      </c>
      <c r="EB8" t="e">
        <f>AND(Sheet1!AL30,"AAAAAH2f8oM=")</f>
        <v>#VALUE!</v>
      </c>
      <c r="EC8" t="e">
        <f>AND(Sheet1!AM30,"AAAAAH2f8oQ=")</f>
        <v>#VALUE!</v>
      </c>
      <c r="ED8" t="e">
        <f>AND(Sheet1!AN30,"AAAAAH2f8oU=")</f>
        <v>#VALUE!</v>
      </c>
      <c r="EE8" t="e">
        <f>AND(Sheet1!AO30,"AAAAAH2f8oY=")</f>
        <v>#VALUE!</v>
      </c>
      <c r="EF8" t="e">
        <f>AND(Sheet1!AP30,"AAAAAH2f8oc=")</f>
        <v>#VALUE!</v>
      </c>
      <c r="EG8" t="e">
        <f>AND(Sheet1!AQ30,"AAAAAH2f8og=")</f>
        <v>#VALUE!</v>
      </c>
      <c r="EH8" t="e">
        <f>AND(Sheet1!AR30,"AAAAAH2f8ok=")</f>
        <v>#VALUE!</v>
      </c>
      <c r="EI8" t="e">
        <f>AND(Sheet1!AS30,"AAAAAH2f8oo=")</f>
        <v>#VALUE!</v>
      </c>
      <c r="EJ8" t="e">
        <f>AND(Sheet1!AT30,"AAAAAH2f8os=")</f>
        <v>#VALUE!</v>
      </c>
      <c r="EK8" t="e">
        <f>AND(Sheet1!AU30,"AAAAAH2f8ow=")</f>
        <v>#VALUE!</v>
      </c>
      <c r="EL8" t="e">
        <f>AND(Sheet1!AV30,"AAAAAH2f8o0=")</f>
        <v>#VALUE!</v>
      </c>
      <c r="EM8" t="e">
        <f>AND(Sheet1!AW30,"AAAAAH2f8o4=")</f>
        <v>#VALUE!</v>
      </c>
      <c r="EN8" t="e">
        <f>AND(Sheet1!AX30,"AAAAAH2f8o8=")</f>
        <v>#VALUE!</v>
      </c>
      <c r="EO8" t="e">
        <f>AND(Sheet1!AY30,"AAAAAH2f8pA=")</f>
        <v>#VALUE!</v>
      </c>
      <c r="EP8" t="e">
        <f>AND(Sheet1!AZ30,"AAAAAH2f8pE=")</f>
        <v>#VALUE!</v>
      </c>
      <c r="EQ8" t="e">
        <f>AND(Sheet1!BA30,"AAAAAH2f8pI=")</f>
        <v>#VALUE!</v>
      </c>
      <c r="ER8" t="e">
        <f>AND(Sheet1!BB30,"AAAAAH2f8pM=")</f>
        <v>#VALUE!</v>
      </c>
      <c r="ES8" t="e">
        <f>AND(Sheet1!BC30,"AAAAAH2f8pQ=")</f>
        <v>#VALUE!</v>
      </c>
      <c r="ET8" t="e">
        <f>AND(Sheet1!BD30,"AAAAAH2f8pU=")</f>
        <v>#VALUE!</v>
      </c>
      <c r="EU8" t="e">
        <f>AND(Sheet1!BE30,"AAAAAH2f8pY=")</f>
        <v>#VALUE!</v>
      </c>
      <c r="EV8" t="b">
        <f>AND(Sheet1!BF30,"AAAAAH2f8pc=")</f>
        <v>0</v>
      </c>
      <c r="EW8" t="e">
        <f>AND(Sheet1!BG30,"AAAAAH2f8pg=")</f>
        <v>#VALUE!</v>
      </c>
      <c r="EX8" t="e">
        <f>AND(Sheet1!BH30,"AAAAAH2f8pk=")</f>
        <v>#VALUE!</v>
      </c>
      <c r="EY8" t="e">
        <f>AND(Sheet1!BI30,"AAAAAH2f8po=")</f>
        <v>#VALUE!</v>
      </c>
      <c r="EZ8" t="e">
        <f>AND(Sheet1!BJ30,"AAAAAH2f8ps=")</f>
        <v>#VALUE!</v>
      </c>
      <c r="FA8" t="e">
        <f>AND(Sheet1!BK30,"AAAAAH2f8pw=")</f>
        <v>#VALUE!</v>
      </c>
      <c r="FB8" t="e">
        <f>AND(Sheet1!BL30,"AAAAAH2f8p0=")</f>
        <v>#VALUE!</v>
      </c>
      <c r="FC8">
        <f>IF(Sheet1!31:31,"AAAAAH2f8p4=",0)</f>
        <v>0</v>
      </c>
      <c r="FD8" t="e">
        <f>AND(Sheet1!A31,"AAAAAH2f8p8=")</f>
        <v>#VALUE!</v>
      </c>
      <c r="FE8" t="e">
        <f>AND(Sheet1!B31,"AAAAAH2f8qA=")</f>
        <v>#VALUE!</v>
      </c>
      <c r="FF8" t="e">
        <f>AND(Sheet1!C31,"AAAAAH2f8qE=")</f>
        <v>#VALUE!</v>
      </c>
      <c r="FG8" t="e">
        <f>AND(Sheet1!D31,"AAAAAH2f8qI=")</f>
        <v>#VALUE!</v>
      </c>
      <c r="FH8" t="e">
        <f>AND(Sheet1!E31,"AAAAAH2f8qM=")</f>
        <v>#VALUE!</v>
      </c>
      <c r="FI8" t="e">
        <f>AND(Sheet1!F31,"AAAAAH2f8qQ=")</f>
        <v>#VALUE!</v>
      </c>
      <c r="FJ8" t="e">
        <f>AND(Sheet1!G31,"AAAAAH2f8qU=")</f>
        <v>#VALUE!</v>
      </c>
      <c r="FK8" t="e">
        <f>AND(Sheet1!H31,"AAAAAH2f8qY=")</f>
        <v>#VALUE!</v>
      </c>
      <c r="FL8" t="e">
        <f>AND(Sheet1!I31,"AAAAAH2f8qc=")</f>
        <v>#VALUE!</v>
      </c>
      <c r="FM8" t="e">
        <f>AND(Sheet1!J31,"AAAAAH2f8qg=")</f>
        <v>#VALUE!</v>
      </c>
      <c r="FN8" t="e">
        <f>AND(Sheet1!K31,"AAAAAH2f8qk=")</f>
        <v>#VALUE!</v>
      </c>
      <c r="FO8" t="e">
        <f>AND(Sheet1!L31,"AAAAAH2f8qo=")</f>
        <v>#VALUE!</v>
      </c>
      <c r="FP8" t="e">
        <f>AND(Sheet1!M31,"AAAAAH2f8qs=")</f>
        <v>#VALUE!</v>
      </c>
      <c r="FQ8" t="e">
        <f>AND(Sheet1!N31,"AAAAAH2f8qw=")</f>
        <v>#VALUE!</v>
      </c>
      <c r="FR8" t="e">
        <f>AND(Sheet1!O31,"AAAAAH2f8q0=")</f>
        <v>#VALUE!</v>
      </c>
      <c r="FS8" t="e">
        <f>AND(Sheet1!P31,"AAAAAH2f8q4=")</f>
        <v>#VALUE!</v>
      </c>
      <c r="FT8" t="e">
        <f>AND(Sheet1!Q31,"AAAAAH2f8q8=")</f>
        <v>#VALUE!</v>
      </c>
      <c r="FU8" t="e">
        <f>AND(Sheet1!R31,"AAAAAH2f8rA=")</f>
        <v>#VALUE!</v>
      </c>
      <c r="FV8" t="e">
        <f>AND(Sheet1!S31,"AAAAAH2f8rE=")</f>
        <v>#VALUE!</v>
      </c>
      <c r="FW8" t="e">
        <f>AND(Sheet1!T31,"AAAAAH2f8rI=")</f>
        <v>#VALUE!</v>
      </c>
      <c r="FX8" t="e">
        <f>AND(Sheet1!U31,"AAAAAH2f8rM=")</f>
        <v>#VALUE!</v>
      </c>
      <c r="FY8" t="e">
        <f>AND(Sheet1!V31,"AAAAAH2f8rQ=")</f>
        <v>#VALUE!</v>
      </c>
      <c r="FZ8" t="e">
        <f>AND(Sheet1!W31,"AAAAAH2f8rU=")</f>
        <v>#VALUE!</v>
      </c>
      <c r="GA8" t="e">
        <f>AND(Sheet1!X31,"AAAAAH2f8rY=")</f>
        <v>#VALUE!</v>
      </c>
      <c r="GB8" t="e">
        <f>AND(Sheet1!Y31,"AAAAAH2f8rc=")</f>
        <v>#VALUE!</v>
      </c>
      <c r="GC8" t="e">
        <f>AND(Sheet1!Z31,"AAAAAH2f8rg=")</f>
        <v>#VALUE!</v>
      </c>
      <c r="GD8" t="e">
        <f>AND(Sheet1!AA31,"AAAAAH2f8rk=")</f>
        <v>#VALUE!</v>
      </c>
      <c r="GE8" t="e">
        <f>AND(Sheet1!AB31,"AAAAAH2f8ro=")</f>
        <v>#VALUE!</v>
      </c>
      <c r="GF8" t="e">
        <f>AND(Sheet1!AC31,"AAAAAH2f8rs=")</f>
        <v>#VALUE!</v>
      </c>
      <c r="GG8" t="e">
        <f>AND(Sheet1!AD31,"AAAAAH2f8rw=")</f>
        <v>#VALUE!</v>
      </c>
      <c r="GH8" t="e">
        <f>AND(Sheet1!AE31,"AAAAAH2f8r0=")</f>
        <v>#VALUE!</v>
      </c>
      <c r="GI8" t="e">
        <f>AND(Sheet1!AF31,"AAAAAH2f8r4=")</f>
        <v>#VALUE!</v>
      </c>
      <c r="GJ8" t="e">
        <f>AND(Sheet1!AG31,"AAAAAH2f8r8=")</f>
        <v>#VALUE!</v>
      </c>
      <c r="GK8" t="e">
        <f>AND(Sheet1!AH31,"AAAAAH2f8sA=")</f>
        <v>#VALUE!</v>
      </c>
      <c r="GL8" t="e">
        <f>AND(Sheet1!AI31,"AAAAAH2f8sE=")</f>
        <v>#VALUE!</v>
      </c>
      <c r="GM8" t="e">
        <f>AND(Sheet1!AJ31,"AAAAAH2f8sI=")</f>
        <v>#VALUE!</v>
      </c>
      <c r="GN8" t="e">
        <f>AND(Sheet1!AK31,"AAAAAH2f8sM=")</f>
        <v>#VALUE!</v>
      </c>
      <c r="GO8" t="e">
        <f>AND(Sheet1!AL31,"AAAAAH2f8sQ=")</f>
        <v>#VALUE!</v>
      </c>
      <c r="GP8" t="e">
        <f>AND(Sheet1!AM31,"AAAAAH2f8sU=")</f>
        <v>#VALUE!</v>
      </c>
      <c r="GQ8" t="e">
        <f>AND(Sheet1!AN31,"AAAAAH2f8sY=")</f>
        <v>#VALUE!</v>
      </c>
      <c r="GR8" t="e">
        <f>AND(Sheet1!AO31,"AAAAAH2f8sc=")</f>
        <v>#VALUE!</v>
      </c>
      <c r="GS8" t="e">
        <f>AND(Sheet1!AP31,"AAAAAH2f8sg=")</f>
        <v>#VALUE!</v>
      </c>
      <c r="GT8" t="e">
        <f>AND(Sheet1!AQ31,"AAAAAH2f8sk=")</f>
        <v>#VALUE!</v>
      </c>
      <c r="GU8" t="e">
        <f>AND(Sheet1!AR31,"AAAAAH2f8so=")</f>
        <v>#VALUE!</v>
      </c>
      <c r="GV8" t="e">
        <f>AND(Sheet1!AS31,"AAAAAH2f8ss=")</f>
        <v>#VALUE!</v>
      </c>
      <c r="GW8" t="e">
        <f>AND(Sheet1!AT31,"AAAAAH2f8sw=")</f>
        <v>#VALUE!</v>
      </c>
      <c r="GX8" t="e">
        <f>AND(Sheet1!AU31,"AAAAAH2f8s0=")</f>
        <v>#VALUE!</v>
      </c>
      <c r="GY8" t="e">
        <f>AND(Sheet1!AV31,"AAAAAH2f8s4=")</f>
        <v>#VALUE!</v>
      </c>
      <c r="GZ8" t="e">
        <f>AND(Sheet1!AW31,"AAAAAH2f8s8=")</f>
        <v>#VALUE!</v>
      </c>
      <c r="HA8" t="e">
        <f>AND(Sheet1!AX31,"AAAAAH2f8tA=")</f>
        <v>#VALUE!</v>
      </c>
      <c r="HB8" t="e">
        <f>AND(Sheet1!AY31,"AAAAAH2f8tE=")</f>
        <v>#VALUE!</v>
      </c>
      <c r="HC8" t="e">
        <f>AND(Sheet1!AZ31,"AAAAAH2f8tI=")</f>
        <v>#VALUE!</v>
      </c>
      <c r="HD8" t="e">
        <f>AND(Sheet1!BA31,"AAAAAH2f8tM=")</f>
        <v>#VALUE!</v>
      </c>
      <c r="HE8" t="e">
        <f>AND(Sheet1!BB31,"AAAAAH2f8tQ=")</f>
        <v>#VALUE!</v>
      </c>
      <c r="HF8" t="e">
        <f>AND(Sheet1!BC31,"AAAAAH2f8tU=")</f>
        <v>#VALUE!</v>
      </c>
      <c r="HG8" t="e">
        <f>AND(Sheet1!BD31,"AAAAAH2f8tY=")</f>
        <v>#VALUE!</v>
      </c>
      <c r="HH8" t="e">
        <f>AND(Sheet1!BE31,"AAAAAH2f8tc=")</f>
        <v>#VALUE!</v>
      </c>
      <c r="HI8" t="b">
        <f>AND(Sheet1!BF31,"AAAAAH2f8tg=")</f>
        <v>0</v>
      </c>
      <c r="HJ8" t="e">
        <f>AND(Sheet1!BG31,"AAAAAH2f8tk=")</f>
        <v>#VALUE!</v>
      </c>
      <c r="HK8" t="e">
        <f>AND(Sheet1!BH31,"AAAAAH2f8to=")</f>
        <v>#VALUE!</v>
      </c>
      <c r="HL8" t="e">
        <f>AND(Sheet1!BI31,"AAAAAH2f8ts=")</f>
        <v>#VALUE!</v>
      </c>
      <c r="HM8" t="e">
        <f>AND(Sheet1!BJ31,"AAAAAH2f8tw=")</f>
        <v>#VALUE!</v>
      </c>
      <c r="HN8" t="e">
        <f>AND(Sheet1!BK31,"AAAAAH2f8t0=")</f>
        <v>#VALUE!</v>
      </c>
      <c r="HO8" t="e">
        <f>AND(Sheet1!BL31,"AAAAAH2f8t4=")</f>
        <v>#VALUE!</v>
      </c>
      <c r="HP8">
        <f>IF(Sheet1!32:32,"AAAAAH2f8t8=",0)</f>
        <v>0</v>
      </c>
      <c r="HQ8" t="e">
        <f>AND(Sheet1!A32,"AAAAAH2f8uA=")</f>
        <v>#VALUE!</v>
      </c>
      <c r="HR8" t="e">
        <f>AND(Sheet1!B32,"AAAAAH2f8uE=")</f>
        <v>#VALUE!</v>
      </c>
      <c r="HS8" t="e">
        <f>AND(Sheet1!C32,"AAAAAH2f8uI=")</f>
        <v>#VALUE!</v>
      </c>
      <c r="HT8" t="e">
        <f>AND(Sheet1!D32,"AAAAAH2f8uM=")</f>
        <v>#VALUE!</v>
      </c>
      <c r="HU8" t="e">
        <f>AND(Sheet1!E32,"AAAAAH2f8uQ=")</f>
        <v>#VALUE!</v>
      </c>
      <c r="HV8" t="e">
        <f>AND(Sheet1!F32,"AAAAAH2f8uU=")</f>
        <v>#VALUE!</v>
      </c>
      <c r="HW8" t="e">
        <f>AND(Sheet1!G32,"AAAAAH2f8uY=")</f>
        <v>#VALUE!</v>
      </c>
      <c r="HX8" t="e">
        <f>AND(Sheet1!H32,"AAAAAH2f8uc=")</f>
        <v>#VALUE!</v>
      </c>
      <c r="HY8" t="e">
        <f>AND(Sheet1!I32,"AAAAAH2f8ug=")</f>
        <v>#VALUE!</v>
      </c>
      <c r="HZ8" t="e">
        <f>AND(Sheet1!J32,"AAAAAH2f8uk=")</f>
        <v>#VALUE!</v>
      </c>
      <c r="IA8" t="e">
        <f>AND(Sheet1!K32,"AAAAAH2f8uo=")</f>
        <v>#VALUE!</v>
      </c>
      <c r="IB8" t="e">
        <f>AND(Sheet1!L32,"AAAAAH2f8us=")</f>
        <v>#VALUE!</v>
      </c>
      <c r="IC8" t="e">
        <f>AND(Sheet1!M32,"AAAAAH2f8uw=")</f>
        <v>#VALUE!</v>
      </c>
      <c r="ID8" t="e">
        <f>AND(Sheet1!N32,"AAAAAH2f8u0=")</f>
        <v>#VALUE!</v>
      </c>
      <c r="IE8" t="e">
        <f>AND(Sheet1!O32,"AAAAAH2f8u4=")</f>
        <v>#VALUE!</v>
      </c>
      <c r="IF8" t="e">
        <f>AND(Sheet1!P32,"AAAAAH2f8u8=")</f>
        <v>#VALUE!</v>
      </c>
      <c r="IG8" t="e">
        <f>AND(Sheet1!Q32,"AAAAAH2f8vA=")</f>
        <v>#VALUE!</v>
      </c>
      <c r="IH8" t="e">
        <f>AND(Sheet1!R32,"AAAAAH2f8vE=")</f>
        <v>#VALUE!</v>
      </c>
      <c r="II8" t="e">
        <f>AND(Sheet1!S32,"AAAAAH2f8vI=")</f>
        <v>#VALUE!</v>
      </c>
      <c r="IJ8" t="e">
        <f>AND(Sheet1!T32,"AAAAAH2f8vM=")</f>
        <v>#VALUE!</v>
      </c>
      <c r="IK8" t="e">
        <f>AND(Sheet1!U32,"AAAAAH2f8vQ=")</f>
        <v>#VALUE!</v>
      </c>
      <c r="IL8" t="e">
        <f>AND(Sheet1!V32,"AAAAAH2f8vU=")</f>
        <v>#VALUE!</v>
      </c>
      <c r="IM8" t="e">
        <f>AND(Sheet1!W32,"AAAAAH2f8vY=")</f>
        <v>#VALUE!</v>
      </c>
      <c r="IN8" t="e">
        <f>AND(Sheet1!X32,"AAAAAH2f8vc=")</f>
        <v>#VALUE!</v>
      </c>
      <c r="IO8" t="e">
        <f>AND(Sheet1!Y32,"AAAAAH2f8vg=")</f>
        <v>#VALUE!</v>
      </c>
      <c r="IP8" t="e">
        <f>AND(Sheet1!Z32,"AAAAAH2f8vk=")</f>
        <v>#VALUE!</v>
      </c>
      <c r="IQ8" t="e">
        <f>AND(Sheet1!AA32,"AAAAAH2f8vo=")</f>
        <v>#VALUE!</v>
      </c>
      <c r="IR8" t="e">
        <f>AND(Sheet1!AB32,"AAAAAH2f8vs=")</f>
        <v>#VALUE!</v>
      </c>
      <c r="IS8" t="e">
        <f>AND(Sheet1!AC32,"AAAAAH2f8vw=")</f>
        <v>#VALUE!</v>
      </c>
      <c r="IT8" t="e">
        <f>AND(Sheet1!AD32,"AAAAAH2f8v0=")</f>
        <v>#VALUE!</v>
      </c>
      <c r="IU8" t="e">
        <f>AND(Sheet1!AE32,"AAAAAH2f8v4=")</f>
        <v>#VALUE!</v>
      </c>
      <c r="IV8" t="e">
        <f>AND(Sheet1!AF32,"AAAAAH2f8v8=")</f>
        <v>#VALUE!</v>
      </c>
    </row>
    <row r="9" spans="1:256" ht="12.75">
      <c r="A9" t="e">
        <f>AND(Sheet1!AG32,"AAAAADPeuwA=")</f>
        <v>#VALUE!</v>
      </c>
      <c r="B9" t="e">
        <f>AND(Sheet1!AH32,"AAAAADPeuwE=")</f>
        <v>#VALUE!</v>
      </c>
      <c r="C9" t="e">
        <f>AND(Sheet1!AI32,"AAAAADPeuwI=")</f>
        <v>#VALUE!</v>
      </c>
      <c r="D9" t="e">
        <f>AND(Sheet1!AJ32,"AAAAADPeuwM=")</f>
        <v>#VALUE!</v>
      </c>
      <c r="E9" t="e">
        <f>AND(Sheet1!AK32,"AAAAADPeuwQ=")</f>
        <v>#VALUE!</v>
      </c>
      <c r="F9" t="e">
        <f>AND(Sheet1!AL32,"AAAAADPeuwU=")</f>
        <v>#VALUE!</v>
      </c>
      <c r="G9" t="e">
        <f>AND(Sheet1!AM32,"AAAAADPeuwY=")</f>
        <v>#VALUE!</v>
      </c>
      <c r="H9" t="e">
        <f>AND(Sheet1!AN32,"AAAAADPeuwc=")</f>
        <v>#VALUE!</v>
      </c>
      <c r="I9" t="e">
        <f>AND(Sheet1!AO32,"AAAAADPeuwg=")</f>
        <v>#VALUE!</v>
      </c>
      <c r="J9" t="e">
        <f>AND(Sheet1!AP32,"AAAAADPeuwk=")</f>
        <v>#VALUE!</v>
      </c>
      <c r="K9" t="e">
        <f>AND(Sheet1!AQ32,"AAAAADPeuwo=")</f>
        <v>#VALUE!</v>
      </c>
      <c r="L9" t="e">
        <f>AND(Sheet1!AR32,"AAAAADPeuws=")</f>
        <v>#VALUE!</v>
      </c>
      <c r="M9" t="e">
        <f>AND(Sheet1!AS32,"AAAAADPeuww=")</f>
        <v>#VALUE!</v>
      </c>
      <c r="N9" t="e">
        <f>AND(Sheet1!AT32,"AAAAADPeuw0=")</f>
        <v>#VALUE!</v>
      </c>
      <c r="O9" t="e">
        <f>AND(Sheet1!AU32,"AAAAADPeuw4=")</f>
        <v>#VALUE!</v>
      </c>
      <c r="P9" t="e">
        <f>AND(Sheet1!AV32,"AAAAADPeuw8=")</f>
        <v>#VALUE!</v>
      </c>
      <c r="Q9" t="e">
        <f>AND(Sheet1!AW32,"AAAAADPeuxA=")</f>
        <v>#VALUE!</v>
      </c>
      <c r="R9" t="e">
        <f>AND(Sheet1!AX32,"AAAAADPeuxE=")</f>
        <v>#VALUE!</v>
      </c>
      <c r="S9" t="e">
        <f>AND(Sheet1!AY32,"AAAAADPeuxI=")</f>
        <v>#VALUE!</v>
      </c>
      <c r="T9" t="e">
        <f>AND(Sheet1!AZ32,"AAAAADPeuxM=")</f>
        <v>#VALUE!</v>
      </c>
      <c r="U9" t="e">
        <f>AND(Sheet1!BA32,"AAAAADPeuxQ=")</f>
        <v>#VALUE!</v>
      </c>
      <c r="V9" t="e">
        <f>AND(Sheet1!BB32,"AAAAADPeuxU=")</f>
        <v>#VALUE!</v>
      </c>
      <c r="W9" t="e">
        <f>AND(Sheet1!BC32,"AAAAADPeuxY=")</f>
        <v>#VALUE!</v>
      </c>
      <c r="X9" t="e">
        <f>AND(Sheet1!BD32,"AAAAADPeuxc=")</f>
        <v>#VALUE!</v>
      </c>
      <c r="Y9" t="e">
        <f>AND(Sheet1!BE32,"AAAAADPeuxg=")</f>
        <v>#VALUE!</v>
      </c>
      <c r="Z9" t="b">
        <f>AND(Sheet1!BF32,"AAAAADPeuxk=")</f>
        <v>0</v>
      </c>
      <c r="AA9" t="e">
        <f>AND(Sheet1!BG32,"AAAAADPeuxo=")</f>
        <v>#VALUE!</v>
      </c>
      <c r="AB9" t="e">
        <f>AND(Sheet1!BH32,"AAAAADPeuxs=")</f>
        <v>#VALUE!</v>
      </c>
      <c r="AC9" t="e">
        <f>AND(Sheet1!BI32,"AAAAADPeuxw=")</f>
        <v>#VALUE!</v>
      </c>
      <c r="AD9" t="e">
        <f>AND(Sheet1!BJ32,"AAAAADPeux0=")</f>
        <v>#VALUE!</v>
      </c>
      <c r="AE9" t="e">
        <f>AND(Sheet1!BK32,"AAAAADPeux4=")</f>
        <v>#VALUE!</v>
      </c>
      <c r="AF9" t="e">
        <f>AND(Sheet1!BL32,"AAAAADPeux8=")</f>
        <v>#VALUE!</v>
      </c>
      <c r="AG9">
        <f>IF(Sheet1!33:33,"AAAAADPeuyA=",0)</f>
        <v>0</v>
      </c>
      <c r="AH9" t="e">
        <f>AND(Sheet1!A33,"AAAAADPeuyE=")</f>
        <v>#VALUE!</v>
      </c>
      <c r="AI9" t="e">
        <f>AND(Sheet1!B33,"AAAAADPeuyI=")</f>
        <v>#VALUE!</v>
      </c>
      <c r="AJ9" t="e">
        <f>AND(Sheet1!C33,"AAAAADPeuyM=")</f>
        <v>#VALUE!</v>
      </c>
      <c r="AK9" t="e">
        <f>AND(Sheet1!D33,"AAAAADPeuyQ=")</f>
        <v>#VALUE!</v>
      </c>
      <c r="AL9" t="e">
        <f>AND(Sheet1!E33,"AAAAADPeuyU=")</f>
        <v>#VALUE!</v>
      </c>
      <c r="AM9" t="e">
        <f>AND(Sheet1!F33,"AAAAADPeuyY=")</f>
        <v>#VALUE!</v>
      </c>
      <c r="AN9" t="e">
        <f>AND(Sheet1!G33,"AAAAADPeuyc=")</f>
        <v>#VALUE!</v>
      </c>
      <c r="AO9" t="e">
        <f>AND(Sheet1!H33,"AAAAADPeuyg=")</f>
        <v>#VALUE!</v>
      </c>
      <c r="AP9" t="e">
        <f>AND(Sheet1!I33,"AAAAADPeuyk=")</f>
        <v>#VALUE!</v>
      </c>
      <c r="AQ9" t="e">
        <f>AND(Sheet1!J33,"AAAAADPeuyo=")</f>
        <v>#VALUE!</v>
      </c>
      <c r="AR9" t="e">
        <f>AND(Sheet1!K33,"AAAAADPeuys=")</f>
        <v>#VALUE!</v>
      </c>
      <c r="AS9" t="e">
        <f>AND(Sheet1!L33,"AAAAADPeuyw=")</f>
        <v>#VALUE!</v>
      </c>
      <c r="AT9" t="e">
        <f>AND(Sheet1!M33,"AAAAADPeuy0=")</f>
        <v>#VALUE!</v>
      </c>
      <c r="AU9" t="e">
        <f>AND(Sheet1!N33,"AAAAADPeuy4=")</f>
        <v>#VALUE!</v>
      </c>
      <c r="AV9" t="e">
        <f>AND(Sheet1!O33,"AAAAADPeuy8=")</f>
        <v>#VALUE!</v>
      </c>
      <c r="AW9" t="e">
        <f>AND(Sheet1!P33,"AAAAADPeuzA=")</f>
        <v>#VALUE!</v>
      </c>
      <c r="AX9" t="e">
        <f>AND(Sheet1!Q33,"AAAAADPeuzE=")</f>
        <v>#VALUE!</v>
      </c>
      <c r="AY9" t="e">
        <f>AND(Sheet1!R33,"AAAAADPeuzI=")</f>
        <v>#VALUE!</v>
      </c>
      <c r="AZ9" t="e">
        <f>AND(Sheet1!S33,"AAAAADPeuzM=")</f>
        <v>#VALUE!</v>
      </c>
      <c r="BA9" t="e">
        <f>AND(Sheet1!T33,"AAAAADPeuzQ=")</f>
        <v>#VALUE!</v>
      </c>
      <c r="BB9" t="e">
        <f>AND(Sheet1!U33,"AAAAADPeuzU=")</f>
        <v>#VALUE!</v>
      </c>
      <c r="BC9" t="e">
        <f>AND(Sheet1!V33,"AAAAADPeuzY=")</f>
        <v>#VALUE!</v>
      </c>
      <c r="BD9" t="e">
        <f>AND(Sheet1!W33,"AAAAADPeuzc=")</f>
        <v>#VALUE!</v>
      </c>
      <c r="BE9" t="e">
        <f>AND(Sheet1!X33,"AAAAADPeuzg=")</f>
        <v>#VALUE!</v>
      </c>
      <c r="BF9" t="e">
        <f>AND(Sheet1!Y33,"AAAAADPeuzk=")</f>
        <v>#VALUE!</v>
      </c>
      <c r="BG9" t="e">
        <f>AND(Sheet1!Z33,"AAAAADPeuzo=")</f>
        <v>#VALUE!</v>
      </c>
      <c r="BH9" t="e">
        <f>AND(Sheet1!AA33,"AAAAADPeuzs=")</f>
        <v>#VALUE!</v>
      </c>
      <c r="BI9" t="e">
        <f>AND(Sheet1!AB33,"AAAAADPeuzw=")</f>
        <v>#VALUE!</v>
      </c>
      <c r="BJ9" t="e">
        <f>AND(Sheet1!AC33,"AAAAADPeuz0=")</f>
        <v>#VALUE!</v>
      </c>
      <c r="BK9" t="e">
        <f>AND(Sheet1!AD33,"AAAAADPeuz4=")</f>
        <v>#VALUE!</v>
      </c>
      <c r="BL9" t="e">
        <f>AND(Sheet1!AE33,"AAAAADPeuz8=")</f>
        <v>#VALUE!</v>
      </c>
      <c r="BM9" t="e">
        <f>AND(Sheet1!AF33,"AAAAADPeu0A=")</f>
        <v>#VALUE!</v>
      </c>
      <c r="BN9" t="e">
        <f>AND(Sheet1!AG33,"AAAAADPeu0E=")</f>
        <v>#VALUE!</v>
      </c>
      <c r="BO9" t="e">
        <f>AND(Sheet1!AH33,"AAAAADPeu0I=")</f>
        <v>#VALUE!</v>
      </c>
      <c r="BP9" t="e">
        <f>AND(Sheet1!AI33,"AAAAADPeu0M=")</f>
        <v>#VALUE!</v>
      </c>
      <c r="BQ9" t="e">
        <f>AND(Sheet1!AJ33,"AAAAADPeu0Q=")</f>
        <v>#VALUE!</v>
      </c>
      <c r="BR9" t="e">
        <f>AND(Sheet1!AK33,"AAAAADPeu0U=")</f>
        <v>#VALUE!</v>
      </c>
      <c r="BS9" t="e">
        <f>AND(Sheet1!AL33,"AAAAADPeu0Y=")</f>
        <v>#VALUE!</v>
      </c>
      <c r="BT9" t="e">
        <f>AND(Sheet1!AM33,"AAAAADPeu0c=")</f>
        <v>#VALUE!</v>
      </c>
      <c r="BU9" t="e">
        <f>AND(Sheet1!AN33,"AAAAADPeu0g=")</f>
        <v>#VALUE!</v>
      </c>
      <c r="BV9" t="e">
        <f>AND(Sheet1!AO33,"AAAAADPeu0k=")</f>
        <v>#VALUE!</v>
      </c>
      <c r="BW9" t="e">
        <f>AND(Sheet1!AP33,"AAAAADPeu0o=")</f>
        <v>#VALUE!</v>
      </c>
      <c r="BX9" t="e">
        <f>AND(Sheet1!AQ33,"AAAAADPeu0s=")</f>
        <v>#VALUE!</v>
      </c>
      <c r="BY9" t="e">
        <f>AND(Sheet1!AR33,"AAAAADPeu0w=")</f>
        <v>#VALUE!</v>
      </c>
      <c r="BZ9" t="e">
        <f>AND(Sheet1!AS33,"AAAAADPeu00=")</f>
        <v>#VALUE!</v>
      </c>
      <c r="CA9" t="e">
        <f>AND(Sheet1!AT33,"AAAAADPeu04=")</f>
        <v>#VALUE!</v>
      </c>
      <c r="CB9" t="e">
        <f>AND(Sheet1!AU33,"AAAAADPeu08=")</f>
        <v>#VALUE!</v>
      </c>
      <c r="CC9" t="e">
        <f>AND(Sheet1!AV33,"AAAAADPeu1A=")</f>
        <v>#VALUE!</v>
      </c>
      <c r="CD9" t="e">
        <f>AND(Sheet1!AW33,"AAAAADPeu1E=")</f>
        <v>#VALUE!</v>
      </c>
      <c r="CE9" t="e">
        <f>AND(Sheet1!AX33,"AAAAADPeu1I=")</f>
        <v>#VALUE!</v>
      </c>
      <c r="CF9" t="e">
        <f>AND(Sheet1!AY33,"AAAAADPeu1M=")</f>
        <v>#VALUE!</v>
      </c>
      <c r="CG9" t="e">
        <f>AND(Sheet1!AZ33,"AAAAADPeu1Q=")</f>
        <v>#VALUE!</v>
      </c>
      <c r="CH9" t="e">
        <f>AND(Sheet1!BA33,"AAAAADPeu1U=")</f>
        <v>#VALUE!</v>
      </c>
      <c r="CI9" t="e">
        <f>AND(Sheet1!BB33,"AAAAADPeu1Y=")</f>
        <v>#VALUE!</v>
      </c>
      <c r="CJ9" t="e">
        <f>AND(Sheet1!BC33,"AAAAADPeu1c=")</f>
        <v>#VALUE!</v>
      </c>
      <c r="CK9" t="e">
        <f>AND(Sheet1!BD33,"AAAAADPeu1g=")</f>
        <v>#VALUE!</v>
      </c>
      <c r="CL9" t="e">
        <f>AND(Sheet1!BE33,"AAAAADPeu1k=")</f>
        <v>#VALUE!</v>
      </c>
      <c r="CM9" t="b">
        <f>AND(Sheet1!BF33,"AAAAADPeu1o=")</f>
        <v>0</v>
      </c>
      <c r="CN9" t="e">
        <f>AND(Sheet1!BG33,"AAAAADPeu1s=")</f>
        <v>#VALUE!</v>
      </c>
      <c r="CO9" t="e">
        <f>AND(Sheet1!BH33,"AAAAADPeu1w=")</f>
        <v>#VALUE!</v>
      </c>
      <c r="CP9" t="e">
        <f>AND(Sheet1!BI33,"AAAAADPeu10=")</f>
        <v>#VALUE!</v>
      </c>
      <c r="CQ9" t="e">
        <f>AND(Sheet1!BJ33,"AAAAADPeu14=")</f>
        <v>#VALUE!</v>
      </c>
      <c r="CR9" t="e">
        <f>AND(Sheet1!BK33,"AAAAADPeu18=")</f>
        <v>#VALUE!</v>
      </c>
      <c r="CS9" t="e">
        <f>AND(Sheet1!BL33,"AAAAADPeu2A=")</f>
        <v>#VALUE!</v>
      </c>
      <c r="CT9">
        <f>IF(Sheet1!34:34,"AAAAADPeu2E=",0)</f>
        <v>0</v>
      </c>
      <c r="CU9" t="e">
        <f>AND(Sheet1!A34,"AAAAADPeu2I=")</f>
        <v>#VALUE!</v>
      </c>
      <c r="CV9" t="e">
        <f>AND(Sheet1!B34,"AAAAADPeu2M=")</f>
        <v>#VALUE!</v>
      </c>
      <c r="CW9" t="e">
        <f>AND(Sheet1!C34,"AAAAADPeu2Q=")</f>
        <v>#VALUE!</v>
      </c>
      <c r="CX9" t="e">
        <f>AND(Sheet1!D34,"AAAAADPeu2U=")</f>
        <v>#VALUE!</v>
      </c>
      <c r="CY9" t="e">
        <f>AND(Sheet1!E34,"AAAAADPeu2Y=")</f>
        <v>#VALUE!</v>
      </c>
      <c r="CZ9" t="e">
        <f>AND(Sheet1!F34,"AAAAADPeu2c=")</f>
        <v>#VALUE!</v>
      </c>
      <c r="DA9" t="e">
        <f>AND(Sheet1!G34,"AAAAADPeu2g=")</f>
        <v>#VALUE!</v>
      </c>
      <c r="DB9" t="e">
        <f>AND(Sheet1!H34,"AAAAADPeu2k=")</f>
        <v>#VALUE!</v>
      </c>
      <c r="DC9" t="e">
        <f>AND(Sheet1!I34,"AAAAADPeu2o=")</f>
        <v>#VALUE!</v>
      </c>
      <c r="DD9" t="e">
        <f>AND(Sheet1!J34,"AAAAADPeu2s=")</f>
        <v>#VALUE!</v>
      </c>
      <c r="DE9" t="e">
        <f>AND(Sheet1!K34,"AAAAADPeu2w=")</f>
        <v>#VALUE!</v>
      </c>
      <c r="DF9" t="e">
        <f>AND(Sheet1!L34,"AAAAADPeu20=")</f>
        <v>#VALUE!</v>
      </c>
      <c r="DG9" t="e">
        <f>AND(Sheet1!M34,"AAAAADPeu24=")</f>
        <v>#VALUE!</v>
      </c>
      <c r="DH9" t="e">
        <f>AND(Sheet1!N34,"AAAAADPeu28=")</f>
        <v>#VALUE!</v>
      </c>
      <c r="DI9" t="e">
        <f>AND(Sheet1!O34,"AAAAADPeu3A=")</f>
        <v>#VALUE!</v>
      </c>
      <c r="DJ9" t="e">
        <f>AND(Sheet1!P34,"AAAAADPeu3E=")</f>
        <v>#VALUE!</v>
      </c>
      <c r="DK9" t="e">
        <f>AND(Sheet1!Q34,"AAAAADPeu3I=")</f>
        <v>#VALUE!</v>
      </c>
      <c r="DL9" t="e">
        <f>AND(Sheet1!R34,"AAAAADPeu3M=")</f>
        <v>#VALUE!</v>
      </c>
      <c r="DM9" t="e">
        <f>AND(Sheet1!S34,"AAAAADPeu3Q=")</f>
        <v>#VALUE!</v>
      </c>
      <c r="DN9" t="e">
        <f>AND(Sheet1!T34,"AAAAADPeu3U=")</f>
        <v>#VALUE!</v>
      </c>
      <c r="DO9" t="e">
        <f>AND(Sheet1!U34,"AAAAADPeu3Y=")</f>
        <v>#VALUE!</v>
      </c>
      <c r="DP9" t="e">
        <f>AND(Sheet1!V34,"AAAAADPeu3c=")</f>
        <v>#VALUE!</v>
      </c>
      <c r="DQ9" t="e">
        <f>AND(Sheet1!W34,"AAAAADPeu3g=")</f>
        <v>#VALUE!</v>
      </c>
      <c r="DR9" t="e">
        <f>AND(Sheet1!X34,"AAAAADPeu3k=")</f>
        <v>#VALUE!</v>
      </c>
      <c r="DS9" t="e">
        <f>AND(Sheet1!Y34,"AAAAADPeu3o=")</f>
        <v>#VALUE!</v>
      </c>
      <c r="DT9" t="e">
        <f>AND(Sheet1!Z34,"AAAAADPeu3s=")</f>
        <v>#VALUE!</v>
      </c>
      <c r="DU9" t="e">
        <f>AND(Sheet1!AA34,"AAAAADPeu3w=")</f>
        <v>#VALUE!</v>
      </c>
      <c r="DV9" t="e">
        <f>AND(Sheet1!AB34,"AAAAADPeu30=")</f>
        <v>#VALUE!</v>
      </c>
      <c r="DW9" t="e">
        <f>AND(Sheet1!AC34,"AAAAADPeu34=")</f>
        <v>#VALUE!</v>
      </c>
      <c r="DX9" t="e">
        <f>AND(Sheet1!AD34,"AAAAADPeu38=")</f>
        <v>#VALUE!</v>
      </c>
      <c r="DY9" t="e">
        <f>AND(Sheet1!AE34,"AAAAADPeu4A=")</f>
        <v>#VALUE!</v>
      </c>
      <c r="DZ9" t="e">
        <f>AND(Sheet1!AF34,"AAAAADPeu4E=")</f>
        <v>#VALUE!</v>
      </c>
      <c r="EA9" t="e">
        <f>AND(Sheet1!AG34,"AAAAADPeu4I=")</f>
        <v>#VALUE!</v>
      </c>
      <c r="EB9" t="e">
        <f>AND(Sheet1!AH34,"AAAAADPeu4M=")</f>
        <v>#VALUE!</v>
      </c>
      <c r="EC9" t="e">
        <f>AND(Sheet1!AI34,"AAAAADPeu4Q=")</f>
        <v>#VALUE!</v>
      </c>
      <c r="ED9" t="e">
        <f>AND(Sheet1!AJ34,"AAAAADPeu4U=")</f>
        <v>#VALUE!</v>
      </c>
      <c r="EE9" t="e">
        <f>AND(Sheet1!AK34,"AAAAADPeu4Y=")</f>
        <v>#VALUE!</v>
      </c>
      <c r="EF9" t="e">
        <f>AND(Sheet1!AL34,"AAAAADPeu4c=")</f>
        <v>#VALUE!</v>
      </c>
      <c r="EG9" t="e">
        <f>AND(Sheet1!AM34,"AAAAADPeu4g=")</f>
        <v>#VALUE!</v>
      </c>
      <c r="EH9" t="e">
        <f>AND(Sheet1!AN34,"AAAAADPeu4k=")</f>
        <v>#VALUE!</v>
      </c>
      <c r="EI9" t="e">
        <f>AND(Sheet1!AO34,"AAAAADPeu4o=")</f>
        <v>#VALUE!</v>
      </c>
      <c r="EJ9" t="e">
        <f>AND(Sheet1!AP34,"AAAAADPeu4s=")</f>
        <v>#VALUE!</v>
      </c>
      <c r="EK9" t="e">
        <f>AND(Sheet1!AQ34,"AAAAADPeu4w=")</f>
        <v>#VALUE!</v>
      </c>
      <c r="EL9" t="e">
        <f>AND(Sheet1!AR34,"AAAAADPeu40=")</f>
        <v>#VALUE!</v>
      </c>
      <c r="EM9" t="e">
        <f>AND(Sheet1!AS34,"AAAAADPeu44=")</f>
        <v>#VALUE!</v>
      </c>
      <c r="EN9" t="e">
        <f>AND(Sheet1!AT34,"AAAAADPeu48=")</f>
        <v>#VALUE!</v>
      </c>
      <c r="EO9" t="e">
        <f>AND(Sheet1!AU34,"AAAAADPeu5A=")</f>
        <v>#VALUE!</v>
      </c>
      <c r="EP9" t="e">
        <f>AND(Sheet1!AV34,"AAAAADPeu5E=")</f>
        <v>#VALUE!</v>
      </c>
      <c r="EQ9" t="e">
        <f>AND(Sheet1!AW34,"AAAAADPeu5I=")</f>
        <v>#VALUE!</v>
      </c>
      <c r="ER9" t="e">
        <f>AND(Sheet1!AX34,"AAAAADPeu5M=")</f>
        <v>#VALUE!</v>
      </c>
      <c r="ES9" t="e">
        <f>AND(Sheet1!AY34,"AAAAADPeu5Q=")</f>
        <v>#VALUE!</v>
      </c>
      <c r="ET9" t="e">
        <f>AND(Sheet1!AZ34,"AAAAADPeu5U=")</f>
        <v>#VALUE!</v>
      </c>
      <c r="EU9" t="e">
        <f>AND(Sheet1!BA34,"AAAAADPeu5Y=")</f>
        <v>#VALUE!</v>
      </c>
      <c r="EV9" t="e">
        <f>AND(Sheet1!BB34,"AAAAADPeu5c=")</f>
        <v>#VALUE!</v>
      </c>
      <c r="EW9" t="e">
        <f>AND(Sheet1!BC34,"AAAAADPeu5g=")</f>
        <v>#VALUE!</v>
      </c>
      <c r="EX9" t="e">
        <f>AND(Sheet1!BD34,"AAAAADPeu5k=")</f>
        <v>#VALUE!</v>
      </c>
      <c r="EY9" t="e">
        <f>AND(Sheet1!BE34,"AAAAADPeu5o=")</f>
        <v>#VALUE!</v>
      </c>
      <c r="EZ9" t="b">
        <f>AND(Sheet1!BF34,"AAAAADPeu5s=")</f>
        <v>0</v>
      </c>
      <c r="FA9" t="e">
        <f>AND(Sheet1!BG34,"AAAAADPeu5w=")</f>
        <v>#VALUE!</v>
      </c>
      <c r="FB9" t="e">
        <f>AND(Sheet1!BH34,"AAAAADPeu50=")</f>
        <v>#VALUE!</v>
      </c>
      <c r="FC9" t="e">
        <f>AND(Sheet1!BI34,"AAAAADPeu54=")</f>
        <v>#VALUE!</v>
      </c>
      <c r="FD9" t="e">
        <f>AND(Sheet1!BJ34,"AAAAADPeu58=")</f>
        <v>#VALUE!</v>
      </c>
      <c r="FE9" t="e">
        <f>AND(Sheet1!BK34,"AAAAADPeu6A=")</f>
        <v>#VALUE!</v>
      </c>
      <c r="FF9" t="e">
        <f>AND(Sheet1!BL34,"AAAAADPeu6E=")</f>
        <v>#VALUE!</v>
      </c>
      <c r="FG9">
        <f>IF(Sheet1!35:35,"AAAAADPeu6I=",0)</f>
        <v>0</v>
      </c>
      <c r="FH9" t="e">
        <f>AND(Sheet1!A35,"AAAAADPeu6M=")</f>
        <v>#VALUE!</v>
      </c>
      <c r="FI9" t="e">
        <f>AND(Sheet1!B35,"AAAAADPeu6Q=")</f>
        <v>#VALUE!</v>
      </c>
      <c r="FJ9" t="e">
        <f>AND(Sheet1!C35,"AAAAADPeu6U=")</f>
        <v>#VALUE!</v>
      </c>
      <c r="FK9" t="e">
        <f>AND(Sheet1!D35,"AAAAADPeu6Y=")</f>
        <v>#VALUE!</v>
      </c>
      <c r="FL9" t="e">
        <f>AND(Sheet1!E35,"AAAAADPeu6c=")</f>
        <v>#VALUE!</v>
      </c>
      <c r="FM9" t="e">
        <f>AND(Sheet1!F35,"AAAAADPeu6g=")</f>
        <v>#VALUE!</v>
      </c>
      <c r="FN9" t="e">
        <f>AND(Sheet1!G35,"AAAAADPeu6k=")</f>
        <v>#VALUE!</v>
      </c>
      <c r="FO9" t="e">
        <f>AND(Sheet1!H35,"AAAAADPeu6o=")</f>
        <v>#VALUE!</v>
      </c>
      <c r="FP9" t="e">
        <f>AND(Sheet1!I35,"AAAAADPeu6s=")</f>
        <v>#VALUE!</v>
      </c>
      <c r="FQ9" t="e">
        <f>AND(Sheet1!J35,"AAAAADPeu6w=")</f>
        <v>#VALUE!</v>
      </c>
      <c r="FR9" t="e">
        <f>AND(Sheet1!K35,"AAAAADPeu60=")</f>
        <v>#VALUE!</v>
      </c>
      <c r="FS9" t="e">
        <f>AND(Sheet1!L35,"AAAAADPeu64=")</f>
        <v>#VALUE!</v>
      </c>
      <c r="FT9" t="e">
        <f>AND(Sheet1!M35,"AAAAADPeu68=")</f>
        <v>#VALUE!</v>
      </c>
      <c r="FU9" t="e">
        <f>AND(Sheet1!N35,"AAAAADPeu7A=")</f>
        <v>#VALUE!</v>
      </c>
      <c r="FV9" t="e">
        <f>AND(Sheet1!O35,"AAAAADPeu7E=")</f>
        <v>#VALUE!</v>
      </c>
      <c r="FW9" t="e">
        <f>AND(Sheet1!P35,"AAAAADPeu7I=")</f>
        <v>#VALUE!</v>
      </c>
      <c r="FX9" t="e">
        <f>AND(Sheet1!Q35,"AAAAADPeu7M=")</f>
        <v>#VALUE!</v>
      </c>
      <c r="FY9" t="e">
        <f>AND(Sheet1!R35,"AAAAADPeu7Q=")</f>
        <v>#VALUE!</v>
      </c>
      <c r="FZ9" t="e">
        <f>AND(Sheet1!S35,"AAAAADPeu7U=")</f>
        <v>#VALUE!</v>
      </c>
      <c r="GA9" t="e">
        <f>AND(Sheet1!T35,"AAAAADPeu7Y=")</f>
        <v>#VALUE!</v>
      </c>
      <c r="GB9" t="e">
        <f>AND(Sheet1!U35,"AAAAADPeu7c=")</f>
        <v>#VALUE!</v>
      </c>
      <c r="GC9" t="e">
        <f>AND(Sheet1!V35,"AAAAADPeu7g=")</f>
        <v>#VALUE!</v>
      </c>
      <c r="GD9" t="e">
        <f>AND(Sheet1!W35,"AAAAADPeu7k=")</f>
        <v>#VALUE!</v>
      </c>
      <c r="GE9" t="e">
        <f>AND(Sheet1!X35,"AAAAADPeu7o=")</f>
        <v>#VALUE!</v>
      </c>
      <c r="GF9" t="e">
        <f>AND(Sheet1!Y35,"AAAAADPeu7s=")</f>
        <v>#VALUE!</v>
      </c>
      <c r="GG9" t="e">
        <f>AND(Sheet1!Z35,"AAAAADPeu7w=")</f>
        <v>#VALUE!</v>
      </c>
      <c r="GH9" t="e">
        <f>AND(Sheet1!AA35,"AAAAADPeu70=")</f>
        <v>#VALUE!</v>
      </c>
      <c r="GI9" t="e">
        <f>AND(Sheet1!AB35,"AAAAADPeu74=")</f>
        <v>#VALUE!</v>
      </c>
      <c r="GJ9" t="e">
        <f>AND(Sheet1!AC35,"AAAAADPeu78=")</f>
        <v>#VALUE!</v>
      </c>
      <c r="GK9" t="e">
        <f>AND(Sheet1!AD35,"AAAAADPeu8A=")</f>
        <v>#VALUE!</v>
      </c>
      <c r="GL9" t="e">
        <f>AND(Sheet1!AE35,"AAAAADPeu8E=")</f>
        <v>#VALUE!</v>
      </c>
      <c r="GM9" t="e">
        <f>AND(Sheet1!AF35,"AAAAADPeu8I=")</f>
        <v>#VALUE!</v>
      </c>
      <c r="GN9" t="e">
        <f>AND(Sheet1!AG35,"AAAAADPeu8M=")</f>
        <v>#VALUE!</v>
      </c>
      <c r="GO9" t="e">
        <f>AND(Sheet1!AH35,"AAAAADPeu8Q=")</f>
        <v>#VALUE!</v>
      </c>
      <c r="GP9" t="e">
        <f>AND(Sheet1!AI35,"AAAAADPeu8U=")</f>
        <v>#VALUE!</v>
      </c>
      <c r="GQ9" t="e">
        <f>AND(Sheet1!AJ35,"AAAAADPeu8Y=")</f>
        <v>#VALUE!</v>
      </c>
      <c r="GR9" t="e">
        <f>AND(Sheet1!AK35,"AAAAADPeu8c=")</f>
        <v>#VALUE!</v>
      </c>
      <c r="GS9" t="e">
        <f>AND(Sheet1!AL35,"AAAAADPeu8g=")</f>
        <v>#VALUE!</v>
      </c>
      <c r="GT9" t="e">
        <f>AND(Sheet1!AM35,"AAAAADPeu8k=")</f>
        <v>#VALUE!</v>
      </c>
      <c r="GU9" t="e">
        <f>AND(Sheet1!AN35,"AAAAADPeu8o=")</f>
        <v>#VALUE!</v>
      </c>
      <c r="GV9" t="e">
        <f>AND(Sheet1!AO35,"AAAAADPeu8s=")</f>
        <v>#VALUE!</v>
      </c>
      <c r="GW9" t="e">
        <f>AND(Sheet1!AP35,"AAAAADPeu8w=")</f>
        <v>#VALUE!</v>
      </c>
      <c r="GX9" t="e">
        <f>AND(Sheet1!AQ35,"AAAAADPeu80=")</f>
        <v>#VALUE!</v>
      </c>
      <c r="GY9" t="e">
        <f>AND(Sheet1!AR35,"AAAAADPeu84=")</f>
        <v>#VALUE!</v>
      </c>
      <c r="GZ9" t="e">
        <f>AND(Sheet1!AS35,"AAAAADPeu88=")</f>
        <v>#VALUE!</v>
      </c>
      <c r="HA9" t="e">
        <f>AND(Sheet1!AT35,"AAAAADPeu9A=")</f>
        <v>#VALUE!</v>
      </c>
      <c r="HB9" t="e">
        <f>AND(Sheet1!AU35,"AAAAADPeu9E=")</f>
        <v>#VALUE!</v>
      </c>
      <c r="HC9" t="e">
        <f>AND(Sheet1!AV35,"AAAAADPeu9I=")</f>
        <v>#VALUE!</v>
      </c>
      <c r="HD9" t="e">
        <f>AND(Sheet1!AW35,"AAAAADPeu9M=")</f>
        <v>#VALUE!</v>
      </c>
      <c r="HE9" t="e">
        <f>AND(Sheet1!AX35,"AAAAADPeu9Q=")</f>
        <v>#VALUE!</v>
      </c>
      <c r="HF9" t="e">
        <f>AND(Sheet1!AY35,"AAAAADPeu9U=")</f>
        <v>#VALUE!</v>
      </c>
      <c r="HG9" t="e">
        <f>AND(Sheet1!AZ35,"AAAAADPeu9Y=")</f>
        <v>#VALUE!</v>
      </c>
      <c r="HH9" t="e">
        <f>AND(Sheet1!BA35,"AAAAADPeu9c=")</f>
        <v>#VALUE!</v>
      </c>
      <c r="HI9" t="e">
        <f>AND(Sheet1!BB35,"AAAAADPeu9g=")</f>
        <v>#VALUE!</v>
      </c>
      <c r="HJ9" t="e">
        <f>AND(Sheet1!BC35,"AAAAADPeu9k=")</f>
        <v>#VALUE!</v>
      </c>
      <c r="HK9" t="e">
        <f>AND(Sheet1!BD35,"AAAAADPeu9o=")</f>
        <v>#VALUE!</v>
      </c>
      <c r="HL9" t="e">
        <f>AND(Sheet1!BE35,"AAAAADPeu9s=")</f>
        <v>#VALUE!</v>
      </c>
      <c r="HM9" t="b">
        <f>AND(Sheet1!BF35,"AAAAADPeu9w=")</f>
        <v>0</v>
      </c>
      <c r="HN9" t="e">
        <f>AND(Sheet1!BG35,"AAAAADPeu90=")</f>
        <v>#VALUE!</v>
      </c>
      <c r="HO9" t="e">
        <f>AND(Sheet1!BH35,"AAAAADPeu94=")</f>
        <v>#VALUE!</v>
      </c>
      <c r="HP9" t="e">
        <f>AND(Sheet1!BI35,"AAAAADPeu98=")</f>
        <v>#VALUE!</v>
      </c>
      <c r="HQ9" t="e">
        <f>AND(Sheet1!BJ35,"AAAAADPeu+A=")</f>
        <v>#VALUE!</v>
      </c>
      <c r="HR9" t="e">
        <f>AND(Sheet1!BK35,"AAAAADPeu+E=")</f>
        <v>#VALUE!</v>
      </c>
      <c r="HS9" t="e">
        <f>AND(Sheet1!BL35,"AAAAADPeu+I=")</f>
        <v>#VALUE!</v>
      </c>
      <c r="HT9">
        <f>IF(Sheet1!36:36,"AAAAADPeu+M=",0)</f>
        <v>0</v>
      </c>
      <c r="HU9" t="e">
        <f>AND(Sheet1!A36,"AAAAADPeu+Q=")</f>
        <v>#VALUE!</v>
      </c>
      <c r="HV9" t="e">
        <f>AND(Sheet1!B36,"AAAAADPeu+U=")</f>
        <v>#VALUE!</v>
      </c>
      <c r="HW9" t="e">
        <f>AND(Sheet1!C36,"AAAAADPeu+Y=")</f>
        <v>#VALUE!</v>
      </c>
      <c r="HX9" t="e">
        <f>AND(Sheet1!D36,"AAAAADPeu+c=")</f>
        <v>#VALUE!</v>
      </c>
      <c r="HY9" t="e">
        <f>AND(Sheet1!E36,"AAAAADPeu+g=")</f>
        <v>#VALUE!</v>
      </c>
      <c r="HZ9" t="e">
        <f>AND(Sheet1!F36,"AAAAADPeu+k=")</f>
        <v>#VALUE!</v>
      </c>
      <c r="IA9" t="e">
        <f>AND(Sheet1!G36,"AAAAADPeu+o=")</f>
        <v>#VALUE!</v>
      </c>
      <c r="IB9" t="e">
        <f>AND(Sheet1!H36,"AAAAADPeu+s=")</f>
        <v>#VALUE!</v>
      </c>
      <c r="IC9" t="e">
        <f>AND(Sheet1!I36,"AAAAADPeu+w=")</f>
        <v>#VALUE!</v>
      </c>
      <c r="ID9" t="e">
        <f>AND(Sheet1!J36,"AAAAADPeu+0=")</f>
        <v>#VALUE!</v>
      </c>
      <c r="IE9" t="e">
        <f>AND(Sheet1!K36,"AAAAADPeu+4=")</f>
        <v>#VALUE!</v>
      </c>
      <c r="IF9" t="e">
        <f>AND(Sheet1!L36,"AAAAADPeu+8=")</f>
        <v>#VALUE!</v>
      </c>
      <c r="IG9" t="e">
        <f>AND(Sheet1!M36,"AAAAADPeu/A=")</f>
        <v>#VALUE!</v>
      </c>
      <c r="IH9" t="e">
        <f>AND(Sheet1!N36,"AAAAADPeu/E=")</f>
        <v>#VALUE!</v>
      </c>
      <c r="II9" t="e">
        <f>AND(Sheet1!O36,"AAAAADPeu/I=")</f>
        <v>#VALUE!</v>
      </c>
      <c r="IJ9" t="e">
        <f>AND(Sheet1!P36,"AAAAADPeu/M=")</f>
        <v>#VALUE!</v>
      </c>
      <c r="IK9" t="e">
        <f>AND(Sheet1!Q36,"AAAAADPeu/Q=")</f>
        <v>#VALUE!</v>
      </c>
      <c r="IL9" t="e">
        <f>AND(Sheet1!R36,"AAAAADPeu/U=")</f>
        <v>#VALUE!</v>
      </c>
      <c r="IM9" t="e">
        <f>AND(Sheet1!S36,"AAAAADPeu/Y=")</f>
        <v>#VALUE!</v>
      </c>
      <c r="IN9" t="e">
        <f>AND(Sheet1!T36,"AAAAADPeu/c=")</f>
        <v>#VALUE!</v>
      </c>
      <c r="IO9" t="e">
        <f>AND(Sheet1!U36,"AAAAADPeu/g=")</f>
        <v>#VALUE!</v>
      </c>
      <c r="IP9" t="e">
        <f>AND(Sheet1!V36,"AAAAADPeu/k=")</f>
        <v>#VALUE!</v>
      </c>
      <c r="IQ9" t="e">
        <f>AND(Sheet1!W36,"AAAAADPeu/o=")</f>
        <v>#VALUE!</v>
      </c>
      <c r="IR9" t="e">
        <f>AND(Sheet1!X36,"AAAAADPeu/s=")</f>
        <v>#VALUE!</v>
      </c>
      <c r="IS9" t="e">
        <f>AND(Sheet1!Y36,"AAAAADPeu/w=")</f>
        <v>#VALUE!</v>
      </c>
      <c r="IT9" t="e">
        <f>AND(Sheet1!Z36,"AAAAADPeu/0=")</f>
        <v>#VALUE!</v>
      </c>
      <c r="IU9" t="e">
        <f>AND(Sheet1!AA36,"AAAAADPeu/4=")</f>
        <v>#VALUE!</v>
      </c>
      <c r="IV9" t="e">
        <f>AND(Sheet1!AB36,"AAAAADPeu/8=")</f>
        <v>#VALUE!</v>
      </c>
    </row>
    <row r="10" spans="1:256" ht="12.75">
      <c r="A10" t="e">
        <f>AND(Sheet1!AC36,"AAAAADrX1gA=")</f>
        <v>#VALUE!</v>
      </c>
      <c r="B10" t="e">
        <f>AND(Sheet1!AD36,"AAAAADrX1gE=")</f>
        <v>#VALUE!</v>
      </c>
      <c r="C10" t="e">
        <f>AND(Sheet1!AE36,"AAAAADrX1gI=")</f>
        <v>#VALUE!</v>
      </c>
      <c r="D10" t="e">
        <f>AND(Sheet1!AF36,"AAAAADrX1gM=")</f>
        <v>#VALUE!</v>
      </c>
      <c r="E10" t="e">
        <f>AND(Sheet1!AG36,"AAAAADrX1gQ=")</f>
        <v>#VALUE!</v>
      </c>
      <c r="F10" t="e">
        <f>AND(Sheet1!AH36,"AAAAADrX1gU=")</f>
        <v>#VALUE!</v>
      </c>
      <c r="G10" t="e">
        <f>AND(Sheet1!AI36,"AAAAADrX1gY=")</f>
        <v>#VALUE!</v>
      </c>
      <c r="H10" t="e">
        <f>AND(Sheet1!AJ36,"AAAAADrX1gc=")</f>
        <v>#VALUE!</v>
      </c>
      <c r="I10" t="e">
        <f>AND(Sheet1!AK36,"AAAAADrX1gg=")</f>
        <v>#VALUE!</v>
      </c>
      <c r="J10" t="e">
        <f>AND(Sheet1!AL36,"AAAAADrX1gk=")</f>
        <v>#VALUE!</v>
      </c>
      <c r="K10" t="e">
        <f>AND(Sheet1!AM36,"AAAAADrX1go=")</f>
        <v>#VALUE!</v>
      </c>
      <c r="L10" t="e">
        <f>AND(Sheet1!AN36,"AAAAADrX1gs=")</f>
        <v>#VALUE!</v>
      </c>
      <c r="M10" t="e">
        <f>AND(Sheet1!AO36,"AAAAADrX1gw=")</f>
        <v>#VALUE!</v>
      </c>
      <c r="N10" t="e">
        <f>AND(Sheet1!AP36,"AAAAADrX1g0=")</f>
        <v>#VALUE!</v>
      </c>
      <c r="O10" t="e">
        <f>AND(Sheet1!AQ36,"AAAAADrX1g4=")</f>
        <v>#VALUE!</v>
      </c>
      <c r="P10" t="e">
        <f>AND(Sheet1!AR36,"AAAAADrX1g8=")</f>
        <v>#VALUE!</v>
      </c>
      <c r="Q10" t="e">
        <f>AND(Sheet1!AS36,"AAAAADrX1hA=")</f>
        <v>#VALUE!</v>
      </c>
      <c r="R10" t="e">
        <f>AND(Sheet1!AT36,"AAAAADrX1hE=")</f>
        <v>#VALUE!</v>
      </c>
      <c r="S10" t="e">
        <f>AND(Sheet1!AU36,"AAAAADrX1hI=")</f>
        <v>#VALUE!</v>
      </c>
      <c r="T10" t="e">
        <f>AND(Sheet1!AV36,"AAAAADrX1hM=")</f>
        <v>#VALUE!</v>
      </c>
      <c r="U10" t="e">
        <f>AND(Sheet1!AW36,"AAAAADrX1hQ=")</f>
        <v>#VALUE!</v>
      </c>
      <c r="V10" t="e">
        <f>AND(Sheet1!AX36,"AAAAADrX1hU=")</f>
        <v>#VALUE!</v>
      </c>
      <c r="W10" t="e">
        <f>AND(Sheet1!AY36,"AAAAADrX1hY=")</f>
        <v>#VALUE!</v>
      </c>
      <c r="X10" t="e">
        <f>AND(Sheet1!AZ36,"AAAAADrX1hc=")</f>
        <v>#VALUE!</v>
      </c>
      <c r="Y10" t="e">
        <f>AND(Sheet1!BA36,"AAAAADrX1hg=")</f>
        <v>#VALUE!</v>
      </c>
      <c r="Z10" t="e">
        <f>AND(Sheet1!BB36,"AAAAADrX1hk=")</f>
        <v>#VALUE!</v>
      </c>
      <c r="AA10" t="e">
        <f>AND(Sheet1!BC36,"AAAAADrX1ho=")</f>
        <v>#VALUE!</v>
      </c>
      <c r="AB10" t="e">
        <f>AND(Sheet1!BD36,"AAAAADrX1hs=")</f>
        <v>#VALUE!</v>
      </c>
      <c r="AC10" t="e">
        <f>AND(Sheet1!BE36,"AAAAADrX1hw=")</f>
        <v>#VALUE!</v>
      </c>
      <c r="AD10" t="b">
        <f>AND(Sheet1!BF36,"AAAAADrX1h0=")</f>
        <v>0</v>
      </c>
      <c r="AE10" t="e">
        <f>AND(Sheet1!BG36,"AAAAADrX1h4=")</f>
        <v>#VALUE!</v>
      </c>
      <c r="AF10" t="e">
        <f>AND(Sheet1!BH36,"AAAAADrX1h8=")</f>
        <v>#VALUE!</v>
      </c>
      <c r="AG10" t="e">
        <f>AND(Sheet1!BI36,"AAAAADrX1iA=")</f>
        <v>#VALUE!</v>
      </c>
      <c r="AH10" t="e">
        <f>AND(Sheet1!BJ36,"AAAAADrX1iE=")</f>
        <v>#VALUE!</v>
      </c>
      <c r="AI10" t="e">
        <f>AND(Sheet1!BK36,"AAAAADrX1iI=")</f>
        <v>#VALUE!</v>
      </c>
      <c r="AJ10" t="e">
        <f>AND(Sheet1!BL36,"AAAAADrX1iM=")</f>
        <v>#VALUE!</v>
      </c>
      <c r="AK10">
        <f>IF(Sheet1!37:37,"AAAAADrX1iQ=",0)</f>
        <v>0</v>
      </c>
      <c r="AL10" t="e">
        <f>AND(Sheet1!A37,"AAAAADrX1iU=")</f>
        <v>#VALUE!</v>
      </c>
      <c r="AM10" t="e">
        <f>AND(Sheet1!B37,"AAAAADrX1iY=")</f>
        <v>#VALUE!</v>
      </c>
      <c r="AN10" t="e">
        <f>AND(Sheet1!C37,"AAAAADrX1ic=")</f>
        <v>#VALUE!</v>
      </c>
      <c r="AO10" t="e">
        <f>AND(Sheet1!D37,"AAAAADrX1ig=")</f>
        <v>#VALUE!</v>
      </c>
      <c r="AP10" t="e">
        <f>AND(Sheet1!E37,"AAAAADrX1ik=")</f>
        <v>#VALUE!</v>
      </c>
      <c r="AQ10" t="e">
        <f>AND(Sheet1!F37,"AAAAADrX1io=")</f>
        <v>#VALUE!</v>
      </c>
      <c r="AR10" t="e">
        <f>AND(Sheet1!G37,"AAAAADrX1is=")</f>
        <v>#VALUE!</v>
      </c>
      <c r="AS10" t="e">
        <f>AND(Sheet1!H37,"AAAAADrX1iw=")</f>
        <v>#VALUE!</v>
      </c>
      <c r="AT10" t="e">
        <f>AND(Sheet1!I37,"AAAAADrX1i0=")</f>
        <v>#VALUE!</v>
      </c>
      <c r="AU10" t="e">
        <f>AND(Sheet1!J37,"AAAAADrX1i4=")</f>
        <v>#VALUE!</v>
      </c>
      <c r="AV10" t="e">
        <f>AND(Sheet1!K37,"AAAAADrX1i8=")</f>
        <v>#VALUE!</v>
      </c>
      <c r="AW10" t="e">
        <f>AND(Sheet1!L37,"AAAAADrX1jA=")</f>
        <v>#VALUE!</v>
      </c>
      <c r="AX10" t="e">
        <f>AND(Sheet1!M37,"AAAAADrX1jE=")</f>
        <v>#VALUE!</v>
      </c>
      <c r="AY10" t="e">
        <f>AND(Sheet1!N37,"AAAAADrX1jI=")</f>
        <v>#VALUE!</v>
      </c>
      <c r="AZ10" t="e">
        <f>AND(Sheet1!O37,"AAAAADrX1jM=")</f>
        <v>#VALUE!</v>
      </c>
      <c r="BA10" t="e">
        <f>AND(Sheet1!P37,"AAAAADrX1jQ=")</f>
        <v>#VALUE!</v>
      </c>
      <c r="BB10" t="e">
        <f>AND(Sheet1!Q37,"AAAAADrX1jU=")</f>
        <v>#VALUE!</v>
      </c>
      <c r="BC10" t="e">
        <f>AND(Sheet1!R37,"AAAAADrX1jY=")</f>
        <v>#VALUE!</v>
      </c>
      <c r="BD10" t="e">
        <f>AND(Sheet1!S37,"AAAAADrX1jc=")</f>
        <v>#VALUE!</v>
      </c>
      <c r="BE10" t="e">
        <f>AND(Sheet1!T37,"AAAAADrX1jg=")</f>
        <v>#VALUE!</v>
      </c>
      <c r="BF10" t="e">
        <f>AND(Sheet1!U37,"AAAAADrX1jk=")</f>
        <v>#VALUE!</v>
      </c>
      <c r="BG10" t="e">
        <f>AND(Sheet1!V37,"AAAAADrX1jo=")</f>
        <v>#VALUE!</v>
      </c>
      <c r="BH10" t="e">
        <f>AND(Sheet1!W37,"AAAAADrX1js=")</f>
        <v>#VALUE!</v>
      </c>
      <c r="BI10" t="e">
        <f>AND(Sheet1!X37,"AAAAADrX1jw=")</f>
        <v>#VALUE!</v>
      </c>
      <c r="BJ10" t="e">
        <f>AND(Sheet1!Y37,"AAAAADrX1j0=")</f>
        <v>#VALUE!</v>
      </c>
      <c r="BK10" t="e">
        <f>AND(Sheet1!Z37,"AAAAADrX1j4=")</f>
        <v>#VALUE!</v>
      </c>
      <c r="BL10" t="e">
        <f>AND(Sheet1!AA37,"AAAAADrX1j8=")</f>
        <v>#VALUE!</v>
      </c>
      <c r="BM10" t="e">
        <f>AND(Sheet1!AB37,"AAAAADrX1kA=")</f>
        <v>#VALUE!</v>
      </c>
      <c r="BN10" t="e">
        <f>AND(Sheet1!AC37,"AAAAADrX1kE=")</f>
        <v>#VALUE!</v>
      </c>
      <c r="BO10" t="e">
        <f>AND(Sheet1!AD37,"AAAAADrX1kI=")</f>
        <v>#VALUE!</v>
      </c>
      <c r="BP10" t="e">
        <f>AND(Sheet1!AE37,"AAAAADrX1kM=")</f>
        <v>#VALUE!</v>
      </c>
      <c r="BQ10" t="e">
        <f>AND(Sheet1!AF37,"AAAAADrX1kQ=")</f>
        <v>#VALUE!</v>
      </c>
      <c r="BR10" t="e">
        <f>AND(Sheet1!AG37,"AAAAADrX1kU=")</f>
        <v>#VALUE!</v>
      </c>
      <c r="BS10" t="e">
        <f>AND(Sheet1!AH37,"AAAAADrX1kY=")</f>
        <v>#VALUE!</v>
      </c>
      <c r="BT10" t="e">
        <f>AND(Sheet1!AI37,"AAAAADrX1kc=")</f>
        <v>#VALUE!</v>
      </c>
      <c r="BU10" t="e">
        <f>AND(Sheet1!AJ37,"AAAAADrX1kg=")</f>
        <v>#VALUE!</v>
      </c>
      <c r="BV10" t="e">
        <f>AND(Sheet1!AK37,"AAAAADrX1kk=")</f>
        <v>#VALUE!</v>
      </c>
      <c r="BW10" t="e">
        <f>AND(Sheet1!AL37,"AAAAADrX1ko=")</f>
        <v>#VALUE!</v>
      </c>
      <c r="BX10" t="e">
        <f>AND(Sheet1!AM37,"AAAAADrX1ks=")</f>
        <v>#VALUE!</v>
      </c>
      <c r="BY10" t="e">
        <f>AND(Sheet1!AN37,"AAAAADrX1kw=")</f>
        <v>#VALUE!</v>
      </c>
      <c r="BZ10" t="e">
        <f>AND(Sheet1!AO37,"AAAAADrX1k0=")</f>
        <v>#VALUE!</v>
      </c>
      <c r="CA10" t="e">
        <f>AND(Sheet1!AP37,"AAAAADrX1k4=")</f>
        <v>#VALUE!</v>
      </c>
      <c r="CB10" t="e">
        <f>AND(Sheet1!AQ37,"AAAAADrX1k8=")</f>
        <v>#VALUE!</v>
      </c>
      <c r="CC10" t="e">
        <f>AND(Sheet1!AR37,"AAAAADrX1lA=")</f>
        <v>#VALUE!</v>
      </c>
      <c r="CD10" t="e">
        <f>AND(Sheet1!AS37,"AAAAADrX1lE=")</f>
        <v>#VALUE!</v>
      </c>
      <c r="CE10" t="e">
        <f>AND(Sheet1!AT37,"AAAAADrX1lI=")</f>
        <v>#VALUE!</v>
      </c>
      <c r="CF10" t="e">
        <f>AND(Sheet1!AU37,"AAAAADrX1lM=")</f>
        <v>#VALUE!</v>
      </c>
      <c r="CG10" t="e">
        <f>AND(Sheet1!AV37,"AAAAADrX1lQ=")</f>
        <v>#VALUE!</v>
      </c>
      <c r="CH10" t="e">
        <f>AND(Sheet1!AW37,"AAAAADrX1lU=")</f>
        <v>#VALUE!</v>
      </c>
      <c r="CI10" t="e">
        <f>AND(Sheet1!AX37,"AAAAADrX1lY=")</f>
        <v>#VALUE!</v>
      </c>
      <c r="CJ10" t="e">
        <f>AND(Sheet1!AY37,"AAAAADrX1lc=")</f>
        <v>#VALUE!</v>
      </c>
      <c r="CK10" t="e">
        <f>AND(Sheet1!AZ37,"AAAAADrX1lg=")</f>
        <v>#VALUE!</v>
      </c>
      <c r="CL10" t="e">
        <f>AND(Sheet1!BA37,"AAAAADrX1lk=")</f>
        <v>#VALUE!</v>
      </c>
      <c r="CM10" t="e">
        <f>AND(Sheet1!BB37,"AAAAADrX1lo=")</f>
        <v>#VALUE!</v>
      </c>
      <c r="CN10" t="e">
        <f>AND(Sheet1!BC37,"AAAAADrX1ls=")</f>
        <v>#VALUE!</v>
      </c>
      <c r="CO10" t="e">
        <f>AND(Sheet1!BD37,"AAAAADrX1lw=")</f>
        <v>#VALUE!</v>
      </c>
      <c r="CP10" t="e">
        <f>AND(Sheet1!BE37,"AAAAADrX1l0=")</f>
        <v>#VALUE!</v>
      </c>
      <c r="CQ10" t="b">
        <f>AND(Sheet1!BF37,"AAAAADrX1l4=")</f>
        <v>0</v>
      </c>
      <c r="CR10" t="e">
        <f>AND(Sheet1!BG37,"AAAAADrX1l8=")</f>
        <v>#VALUE!</v>
      </c>
      <c r="CS10" t="e">
        <f>AND(Sheet1!BH37,"AAAAADrX1mA=")</f>
        <v>#VALUE!</v>
      </c>
      <c r="CT10" t="e">
        <f>AND(Sheet1!BI37,"AAAAADrX1mE=")</f>
        <v>#VALUE!</v>
      </c>
      <c r="CU10" t="e">
        <f>AND(Sheet1!BJ37,"AAAAADrX1mI=")</f>
        <v>#VALUE!</v>
      </c>
      <c r="CV10" t="e">
        <f>AND(Sheet1!BK37,"AAAAADrX1mM=")</f>
        <v>#VALUE!</v>
      </c>
      <c r="CW10" t="e">
        <f>AND(Sheet1!BL37,"AAAAADrX1mQ=")</f>
        <v>#VALUE!</v>
      </c>
      <c r="CX10">
        <f>IF(Sheet1!38:38,"AAAAADrX1mU=",0)</f>
        <v>0</v>
      </c>
      <c r="CY10" t="e">
        <f>AND(Sheet1!A38,"AAAAADrX1mY=")</f>
        <v>#VALUE!</v>
      </c>
      <c r="CZ10" t="e">
        <f>AND(Sheet1!B38,"AAAAADrX1mc=")</f>
        <v>#VALUE!</v>
      </c>
      <c r="DA10" t="e">
        <f>AND(Sheet1!C38,"AAAAADrX1mg=")</f>
        <v>#VALUE!</v>
      </c>
      <c r="DB10" t="e">
        <f>AND(Sheet1!D38,"AAAAADrX1mk=")</f>
        <v>#VALUE!</v>
      </c>
      <c r="DC10" t="e">
        <f>AND(Sheet1!E38,"AAAAADrX1mo=")</f>
        <v>#VALUE!</v>
      </c>
      <c r="DD10" t="e">
        <f>AND(Sheet1!F38,"AAAAADrX1ms=")</f>
        <v>#VALUE!</v>
      </c>
      <c r="DE10" t="e">
        <f>AND(Sheet1!G38,"AAAAADrX1mw=")</f>
        <v>#VALUE!</v>
      </c>
      <c r="DF10" t="e">
        <f>AND(Sheet1!H38,"AAAAADrX1m0=")</f>
        <v>#VALUE!</v>
      </c>
      <c r="DG10" t="e">
        <f>AND(Sheet1!I38,"AAAAADrX1m4=")</f>
        <v>#VALUE!</v>
      </c>
      <c r="DH10" t="e">
        <f>AND(Sheet1!J38,"AAAAADrX1m8=")</f>
        <v>#VALUE!</v>
      </c>
      <c r="DI10" t="e">
        <f>AND(Sheet1!K38,"AAAAADrX1nA=")</f>
        <v>#VALUE!</v>
      </c>
      <c r="DJ10" t="e">
        <f>AND(Sheet1!L38,"AAAAADrX1nE=")</f>
        <v>#VALUE!</v>
      </c>
      <c r="DK10" t="e">
        <f>AND(Sheet1!M38,"AAAAADrX1nI=")</f>
        <v>#VALUE!</v>
      </c>
      <c r="DL10" t="e">
        <f>AND(Sheet1!N38,"AAAAADrX1nM=")</f>
        <v>#VALUE!</v>
      </c>
      <c r="DM10" t="e">
        <f>AND(Sheet1!O38,"AAAAADrX1nQ=")</f>
        <v>#VALUE!</v>
      </c>
      <c r="DN10" t="e">
        <f>AND(Sheet1!P38,"AAAAADrX1nU=")</f>
        <v>#VALUE!</v>
      </c>
      <c r="DO10" t="e">
        <f>AND(Sheet1!Q38,"AAAAADrX1nY=")</f>
        <v>#VALUE!</v>
      </c>
      <c r="DP10" t="e">
        <f>AND(Sheet1!R38,"AAAAADrX1nc=")</f>
        <v>#VALUE!</v>
      </c>
      <c r="DQ10" t="e">
        <f>AND(Sheet1!S38,"AAAAADrX1ng=")</f>
        <v>#VALUE!</v>
      </c>
      <c r="DR10" t="e">
        <f>AND(Sheet1!T38,"AAAAADrX1nk=")</f>
        <v>#VALUE!</v>
      </c>
      <c r="DS10" t="e">
        <f>AND(Sheet1!U38,"AAAAADrX1no=")</f>
        <v>#VALUE!</v>
      </c>
      <c r="DT10" t="e">
        <f>AND(Sheet1!V38,"AAAAADrX1ns=")</f>
        <v>#VALUE!</v>
      </c>
      <c r="DU10" t="e">
        <f>AND(Sheet1!W38,"AAAAADrX1nw=")</f>
        <v>#VALUE!</v>
      </c>
      <c r="DV10" t="e">
        <f>AND(Sheet1!X38,"AAAAADrX1n0=")</f>
        <v>#VALUE!</v>
      </c>
      <c r="DW10" t="e">
        <f>AND(Sheet1!Y38,"AAAAADrX1n4=")</f>
        <v>#VALUE!</v>
      </c>
      <c r="DX10" t="e">
        <f>AND(Sheet1!Z38,"AAAAADrX1n8=")</f>
        <v>#VALUE!</v>
      </c>
      <c r="DY10" t="e">
        <f>AND(Sheet1!AA38,"AAAAADrX1oA=")</f>
        <v>#VALUE!</v>
      </c>
      <c r="DZ10" t="e">
        <f>AND(Sheet1!AB38,"AAAAADrX1oE=")</f>
        <v>#VALUE!</v>
      </c>
      <c r="EA10" t="e">
        <f>AND(Sheet1!AC38,"AAAAADrX1oI=")</f>
        <v>#VALUE!</v>
      </c>
      <c r="EB10" t="e">
        <f>AND(Sheet1!AD38,"AAAAADrX1oM=")</f>
        <v>#VALUE!</v>
      </c>
      <c r="EC10" t="e">
        <f>AND(Sheet1!AE38,"AAAAADrX1oQ=")</f>
        <v>#VALUE!</v>
      </c>
      <c r="ED10" t="e">
        <f>AND(Sheet1!AF38,"AAAAADrX1oU=")</f>
        <v>#VALUE!</v>
      </c>
      <c r="EE10" t="e">
        <f>AND(Sheet1!AG38,"AAAAADrX1oY=")</f>
        <v>#VALUE!</v>
      </c>
      <c r="EF10" t="e">
        <f>AND(Sheet1!AH38,"AAAAADrX1oc=")</f>
        <v>#VALUE!</v>
      </c>
      <c r="EG10" t="e">
        <f>AND(Sheet1!AI38,"AAAAADrX1og=")</f>
        <v>#VALUE!</v>
      </c>
      <c r="EH10" t="e">
        <f>AND(Sheet1!AJ38,"AAAAADrX1ok=")</f>
        <v>#VALUE!</v>
      </c>
      <c r="EI10" t="e">
        <f>AND(Sheet1!AK38,"AAAAADrX1oo=")</f>
        <v>#VALUE!</v>
      </c>
      <c r="EJ10" t="e">
        <f>AND(Sheet1!AL38,"AAAAADrX1os=")</f>
        <v>#VALUE!</v>
      </c>
      <c r="EK10" t="e">
        <f>AND(Sheet1!AM38,"AAAAADrX1ow=")</f>
        <v>#VALUE!</v>
      </c>
      <c r="EL10" t="e">
        <f>AND(Sheet1!AN38,"AAAAADrX1o0=")</f>
        <v>#VALUE!</v>
      </c>
      <c r="EM10" t="e">
        <f>AND(Sheet1!AO38,"AAAAADrX1o4=")</f>
        <v>#VALUE!</v>
      </c>
      <c r="EN10" t="e">
        <f>AND(Sheet1!AP38,"AAAAADrX1o8=")</f>
        <v>#VALUE!</v>
      </c>
      <c r="EO10" t="e">
        <f>AND(Sheet1!AQ38,"AAAAADrX1pA=")</f>
        <v>#VALUE!</v>
      </c>
      <c r="EP10" t="e">
        <f>AND(Sheet1!AR38,"AAAAADrX1pE=")</f>
        <v>#VALUE!</v>
      </c>
      <c r="EQ10" t="e">
        <f>AND(Sheet1!AS38,"AAAAADrX1pI=")</f>
        <v>#VALUE!</v>
      </c>
      <c r="ER10" t="e">
        <f>AND(Sheet1!AT38,"AAAAADrX1pM=")</f>
        <v>#VALUE!</v>
      </c>
      <c r="ES10" t="e">
        <f>AND(Sheet1!AU38,"AAAAADrX1pQ=")</f>
        <v>#VALUE!</v>
      </c>
      <c r="ET10" t="e">
        <f>AND(Sheet1!AV38,"AAAAADrX1pU=")</f>
        <v>#VALUE!</v>
      </c>
      <c r="EU10" t="e">
        <f>AND(Sheet1!AW38,"AAAAADrX1pY=")</f>
        <v>#VALUE!</v>
      </c>
      <c r="EV10" t="e">
        <f>AND(Sheet1!AX38,"AAAAADrX1pc=")</f>
        <v>#VALUE!</v>
      </c>
      <c r="EW10" t="e">
        <f>AND(Sheet1!AY38,"AAAAADrX1pg=")</f>
        <v>#VALUE!</v>
      </c>
      <c r="EX10" t="e">
        <f>AND(Sheet1!AZ38,"AAAAADrX1pk=")</f>
        <v>#VALUE!</v>
      </c>
      <c r="EY10" t="e">
        <f>AND(Sheet1!BA38,"AAAAADrX1po=")</f>
        <v>#VALUE!</v>
      </c>
      <c r="EZ10" t="e">
        <f>AND(Sheet1!BB38,"AAAAADrX1ps=")</f>
        <v>#VALUE!</v>
      </c>
      <c r="FA10" t="e">
        <f>AND(Sheet1!BC38,"AAAAADrX1pw=")</f>
        <v>#VALUE!</v>
      </c>
      <c r="FB10" t="e">
        <f>AND(Sheet1!BD38,"AAAAADrX1p0=")</f>
        <v>#VALUE!</v>
      </c>
      <c r="FC10" t="e">
        <f>AND(Sheet1!BE38,"AAAAADrX1p4=")</f>
        <v>#VALUE!</v>
      </c>
      <c r="FD10" t="b">
        <f>AND(Sheet1!BF38,"AAAAADrX1p8=")</f>
        <v>0</v>
      </c>
      <c r="FE10" t="e">
        <f>AND(Sheet1!BG38,"AAAAADrX1qA=")</f>
        <v>#VALUE!</v>
      </c>
      <c r="FF10" t="e">
        <f>AND(Sheet1!BH38,"AAAAADrX1qE=")</f>
        <v>#VALUE!</v>
      </c>
      <c r="FG10" t="e">
        <f>AND(Sheet1!BI38,"AAAAADrX1qI=")</f>
        <v>#VALUE!</v>
      </c>
      <c r="FH10" t="e">
        <f>AND(Sheet1!BJ38,"AAAAADrX1qM=")</f>
        <v>#VALUE!</v>
      </c>
      <c r="FI10" t="e">
        <f>AND(Sheet1!BK38,"AAAAADrX1qQ=")</f>
        <v>#VALUE!</v>
      </c>
      <c r="FJ10" t="e">
        <f>AND(Sheet1!BL38,"AAAAADrX1qU=")</f>
        <v>#VALUE!</v>
      </c>
      <c r="FK10">
        <f>IF(Sheet1!39:39,"AAAAADrX1qY=",0)</f>
        <v>0</v>
      </c>
      <c r="FL10" t="e">
        <f>AND(Sheet1!A39,"AAAAADrX1qc=")</f>
        <v>#VALUE!</v>
      </c>
      <c r="FM10" t="e">
        <f>AND(Sheet1!B39,"AAAAADrX1qg=")</f>
        <v>#VALUE!</v>
      </c>
      <c r="FN10" t="e">
        <f>AND(Sheet1!C39,"AAAAADrX1qk=")</f>
        <v>#VALUE!</v>
      </c>
      <c r="FO10" t="e">
        <f>AND(Sheet1!D39,"AAAAADrX1qo=")</f>
        <v>#VALUE!</v>
      </c>
      <c r="FP10" t="e">
        <f>AND(Sheet1!E39,"AAAAADrX1qs=")</f>
        <v>#VALUE!</v>
      </c>
      <c r="FQ10" t="e">
        <f>AND(Sheet1!F39,"AAAAADrX1qw=")</f>
        <v>#VALUE!</v>
      </c>
      <c r="FR10" t="e">
        <f>AND(Sheet1!G39,"AAAAADrX1q0=")</f>
        <v>#VALUE!</v>
      </c>
      <c r="FS10" t="e">
        <f>AND(Sheet1!H39,"AAAAADrX1q4=")</f>
        <v>#VALUE!</v>
      </c>
      <c r="FT10" t="e">
        <f>AND(Sheet1!I39,"AAAAADrX1q8=")</f>
        <v>#VALUE!</v>
      </c>
      <c r="FU10" t="e">
        <f>AND(Sheet1!J39,"AAAAADrX1rA=")</f>
        <v>#VALUE!</v>
      </c>
      <c r="FV10" t="e">
        <f>AND(Sheet1!K39,"AAAAADrX1rE=")</f>
        <v>#VALUE!</v>
      </c>
      <c r="FW10" t="e">
        <f>AND(Sheet1!L39,"AAAAADrX1rI=")</f>
        <v>#VALUE!</v>
      </c>
      <c r="FX10" t="e">
        <f>AND(Sheet1!M39,"AAAAADrX1rM=")</f>
        <v>#VALUE!</v>
      </c>
      <c r="FY10" t="e">
        <f>AND(Sheet1!N39,"AAAAADrX1rQ=")</f>
        <v>#VALUE!</v>
      </c>
      <c r="FZ10" t="e">
        <f>AND(Sheet1!O39,"AAAAADrX1rU=")</f>
        <v>#VALUE!</v>
      </c>
      <c r="GA10" t="e">
        <f>AND(Sheet1!P39,"AAAAADrX1rY=")</f>
        <v>#VALUE!</v>
      </c>
      <c r="GB10" t="e">
        <f>AND(Sheet1!Q39,"AAAAADrX1rc=")</f>
        <v>#VALUE!</v>
      </c>
      <c r="GC10" t="e">
        <f>AND(Sheet1!R39,"AAAAADrX1rg=")</f>
        <v>#VALUE!</v>
      </c>
      <c r="GD10" t="e">
        <f>AND(Sheet1!S39,"AAAAADrX1rk=")</f>
        <v>#VALUE!</v>
      </c>
      <c r="GE10" t="e">
        <f>AND(Sheet1!T39,"AAAAADrX1ro=")</f>
        <v>#VALUE!</v>
      </c>
      <c r="GF10" t="e">
        <f>AND(Sheet1!U39,"AAAAADrX1rs=")</f>
        <v>#VALUE!</v>
      </c>
      <c r="GG10" t="e">
        <f>AND(Sheet1!V39,"AAAAADrX1rw=")</f>
        <v>#VALUE!</v>
      </c>
      <c r="GH10" t="e">
        <f>AND(Sheet1!W39,"AAAAADrX1r0=")</f>
        <v>#VALUE!</v>
      </c>
      <c r="GI10" t="e">
        <f>AND(Sheet1!X39,"AAAAADrX1r4=")</f>
        <v>#VALUE!</v>
      </c>
      <c r="GJ10" t="e">
        <f>AND(Sheet1!Y39,"AAAAADrX1r8=")</f>
        <v>#VALUE!</v>
      </c>
      <c r="GK10" t="e">
        <f>AND(Sheet1!Z39,"AAAAADrX1sA=")</f>
        <v>#VALUE!</v>
      </c>
      <c r="GL10" t="e">
        <f>AND(Sheet1!AA39,"AAAAADrX1sE=")</f>
        <v>#VALUE!</v>
      </c>
      <c r="GM10" t="e">
        <f>AND(Sheet1!AB39,"AAAAADrX1sI=")</f>
        <v>#VALUE!</v>
      </c>
      <c r="GN10" t="e">
        <f>AND(Sheet1!AC39,"AAAAADrX1sM=")</f>
        <v>#VALUE!</v>
      </c>
      <c r="GO10" t="e">
        <f>AND(Sheet1!AD39,"AAAAADrX1sQ=")</f>
        <v>#VALUE!</v>
      </c>
      <c r="GP10" t="e">
        <f>AND(Sheet1!AE39,"AAAAADrX1sU=")</f>
        <v>#VALUE!</v>
      </c>
      <c r="GQ10" t="e">
        <f>AND(Sheet1!AF39,"AAAAADrX1sY=")</f>
        <v>#VALUE!</v>
      </c>
      <c r="GR10" t="e">
        <f>AND(Sheet1!AG39,"AAAAADrX1sc=")</f>
        <v>#VALUE!</v>
      </c>
      <c r="GS10" t="e">
        <f>AND(Sheet1!AH39,"AAAAADrX1sg=")</f>
        <v>#VALUE!</v>
      </c>
      <c r="GT10" t="e">
        <f>AND(Sheet1!AI39,"AAAAADrX1sk=")</f>
        <v>#VALUE!</v>
      </c>
      <c r="GU10" t="e">
        <f>AND(Sheet1!AJ39,"AAAAADrX1so=")</f>
        <v>#VALUE!</v>
      </c>
      <c r="GV10" t="e">
        <f>AND(Sheet1!AK39,"AAAAADrX1ss=")</f>
        <v>#VALUE!</v>
      </c>
      <c r="GW10" t="e">
        <f>AND(Sheet1!AL39,"AAAAADrX1sw=")</f>
        <v>#VALUE!</v>
      </c>
      <c r="GX10" t="e">
        <f>AND(Sheet1!AM39,"AAAAADrX1s0=")</f>
        <v>#VALUE!</v>
      </c>
      <c r="GY10" t="e">
        <f>AND(Sheet1!AN39,"AAAAADrX1s4=")</f>
        <v>#VALUE!</v>
      </c>
      <c r="GZ10" t="e">
        <f>AND(Sheet1!AO39,"AAAAADrX1s8=")</f>
        <v>#VALUE!</v>
      </c>
      <c r="HA10" t="e">
        <f>AND(Sheet1!AP39,"AAAAADrX1tA=")</f>
        <v>#VALUE!</v>
      </c>
      <c r="HB10" t="e">
        <f>AND(Sheet1!AQ39,"AAAAADrX1tE=")</f>
        <v>#VALUE!</v>
      </c>
      <c r="HC10" t="e">
        <f>AND(Sheet1!AR39,"AAAAADrX1tI=")</f>
        <v>#VALUE!</v>
      </c>
      <c r="HD10" t="e">
        <f>AND(Sheet1!AS39,"AAAAADrX1tM=")</f>
        <v>#VALUE!</v>
      </c>
      <c r="HE10" t="e">
        <f>AND(Sheet1!AT39,"AAAAADrX1tQ=")</f>
        <v>#VALUE!</v>
      </c>
      <c r="HF10" t="e">
        <f>AND(Sheet1!AU39,"AAAAADrX1tU=")</f>
        <v>#VALUE!</v>
      </c>
      <c r="HG10" t="e">
        <f>AND(Sheet1!AV39,"AAAAADrX1tY=")</f>
        <v>#VALUE!</v>
      </c>
      <c r="HH10" t="e">
        <f>AND(Sheet1!AW39,"AAAAADrX1tc=")</f>
        <v>#VALUE!</v>
      </c>
      <c r="HI10" t="e">
        <f>AND(Sheet1!AX39,"AAAAADrX1tg=")</f>
        <v>#VALUE!</v>
      </c>
      <c r="HJ10" t="e">
        <f>AND(Sheet1!AY39,"AAAAADrX1tk=")</f>
        <v>#VALUE!</v>
      </c>
      <c r="HK10" t="e">
        <f>AND(Sheet1!AZ39,"AAAAADrX1to=")</f>
        <v>#VALUE!</v>
      </c>
      <c r="HL10" t="e">
        <f>AND(Sheet1!BA39,"AAAAADrX1ts=")</f>
        <v>#VALUE!</v>
      </c>
      <c r="HM10" t="e">
        <f>AND(Sheet1!BB39,"AAAAADrX1tw=")</f>
        <v>#VALUE!</v>
      </c>
      <c r="HN10" t="e">
        <f>AND(Sheet1!BC39,"AAAAADrX1t0=")</f>
        <v>#VALUE!</v>
      </c>
      <c r="HO10" t="e">
        <f>AND(Sheet1!BD39,"AAAAADrX1t4=")</f>
        <v>#VALUE!</v>
      </c>
      <c r="HP10" t="e">
        <f>AND(Sheet1!BE39,"AAAAADrX1t8=")</f>
        <v>#VALUE!</v>
      </c>
      <c r="HQ10" t="b">
        <f>AND(Sheet1!BF39,"AAAAADrX1uA=")</f>
        <v>0</v>
      </c>
      <c r="HR10" t="e">
        <f>AND(Sheet1!BG39,"AAAAADrX1uE=")</f>
        <v>#VALUE!</v>
      </c>
      <c r="HS10" t="e">
        <f>AND(Sheet1!BH39,"AAAAADrX1uI=")</f>
        <v>#VALUE!</v>
      </c>
      <c r="HT10" t="e">
        <f>AND(Sheet1!BI39,"AAAAADrX1uM=")</f>
        <v>#VALUE!</v>
      </c>
      <c r="HU10" t="e">
        <f>AND(Sheet1!BJ39,"AAAAADrX1uQ=")</f>
        <v>#VALUE!</v>
      </c>
      <c r="HV10" t="e">
        <f>AND(Sheet1!BK39,"AAAAADrX1uU=")</f>
        <v>#VALUE!</v>
      </c>
      <c r="HW10" t="e">
        <f>AND(Sheet1!BL39,"AAAAADrX1uY=")</f>
        <v>#VALUE!</v>
      </c>
      <c r="HX10">
        <f>IF(Sheet1!40:40,"AAAAADrX1uc=",0)</f>
        <v>0</v>
      </c>
      <c r="HY10" t="e">
        <f>AND(Sheet1!A40,"AAAAADrX1ug=")</f>
        <v>#VALUE!</v>
      </c>
      <c r="HZ10" t="e">
        <f>AND(Sheet1!B40,"AAAAADrX1uk=")</f>
        <v>#VALUE!</v>
      </c>
      <c r="IA10" t="e">
        <f>AND(Sheet1!C40,"AAAAADrX1uo=")</f>
        <v>#VALUE!</v>
      </c>
      <c r="IB10" t="e">
        <f>AND(Sheet1!D40,"AAAAADrX1us=")</f>
        <v>#VALUE!</v>
      </c>
      <c r="IC10" t="e">
        <f>AND(Sheet1!E40,"AAAAADrX1uw=")</f>
        <v>#VALUE!</v>
      </c>
      <c r="ID10" t="e">
        <f>AND(Sheet1!F40,"AAAAADrX1u0=")</f>
        <v>#VALUE!</v>
      </c>
      <c r="IE10" t="e">
        <f>AND(Sheet1!G40,"AAAAADrX1u4=")</f>
        <v>#VALUE!</v>
      </c>
      <c r="IF10" t="e">
        <f>AND(Sheet1!H40,"AAAAADrX1u8=")</f>
        <v>#VALUE!</v>
      </c>
      <c r="IG10" t="e">
        <f>AND(Sheet1!I40,"AAAAADrX1vA=")</f>
        <v>#VALUE!</v>
      </c>
      <c r="IH10" t="e">
        <f>AND(Sheet1!J40,"AAAAADrX1vE=")</f>
        <v>#VALUE!</v>
      </c>
      <c r="II10" t="e">
        <f>AND(Sheet1!K40,"AAAAADrX1vI=")</f>
        <v>#VALUE!</v>
      </c>
      <c r="IJ10" t="e">
        <f>AND(Sheet1!L40,"AAAAADrX1vM=")</f>
        <v>#VALUE!</v>
      </c>
      <c r="IK10" t="e">
        <f>AND(Sheet1!M40,"AAAAADrX1vQ=")</f>
        <v>#VALUE!</v>
      </c>
      <c r="IL10" t="e">
        <f>AND(Sheet1!N40,"AAAAADrX1vU=")</f>
        <v>#VALUE!</v>
      </c>
      <c r="IM10" t="e">
        <f>AND(Sheet1!O40,"AAAAADrX1vY=")</f>
        <v>#VALUE!</v>
      </c>
      <c r="IN10" t="e">
        <f>AND(Sheet1!P40,"AAAAADrX1vc=")</f>
        <v>#VALUE!</v>
      </c>
      <c r="IO10" t="e">
        <f>AND(Sheet1!Q40,"AAAAADrX1vg=")</f>
        <v>#VALUE!</v>
      </c>
      <c r="IP10" t="e">
        <f>AND(Sheet1!R40,"AAAAADrX1vk=")</f>
        <v>#VALUE!</v>
      </c>
      <c r="IQ10" t="e">
        <f>AND(Sheet1!S40,"AAAAADrX1vo=")</f>
        <v>#VALUE!</v>
      </c>
      <c r="IR10" t="e">
        <f>AND(Sheet1!T40,"AAAAADrX1vs=")</f>
        <v>#VALUE!</v>
      </c>
      <c r="IS10" t="e">
        <f>AND(Sheet1!U40,"AAAAADrX1vw=")</f>
        <v>#VALUE!</v>
      </c>
      <c r="IT10" t="e">
        <f>AND(Sheet1!V40,"AAAAADrX1v0=")</f>
        <v>#VALUE!</v>
      </c>
      <c r="IU10" t="e">
        <f>AND(Sheet1!W40,"AAAAADrX1v4=")</f>
        <v>#VALUE!</v>
      </c>
      <c r="IV10" t="e">
        <f>AND(Sheet1!X40,"AAAAADrX1v8=")</f>
        <v>#VALUE!</v>
      </c>
    </row>
    <row r="11" spans="1:256" ht="12.75">
      <c r="A11" t="e">
        <f>AND(Sheet1!Y40,"AAAAAHe8vQA=")</f>
        <v>#VALUE!</v>
      </c>
      <c r="B11" t="e">
        <f>AND(Sheet1!Z40,"AAAAAHe8vQE=")</f>
        <v>#VALUE!</v>
      </c>
      <c r="C11" t="e">
        <f>AND(Sheet1!AA40,"AAAAAHe8vQI=")</f>
        <v>#VALUE!</v>
      </c>
      <c r="D11" t="e">
        <f>AND(Sheet1!AB40,"AAAAAHe8vQM=")</f>
        <v>#VALUE!</v>
      </c>
      <c r="E11" t="e">
        <f>AND(Sheet1!AC40,"AAAAAHe8vQQ=")</f>
        <v>#VALUE!</v>
      </c>
      <c r="F11" t="e">
        <f>AND(Sheet1!AD40,"AAAAAHe8vQU=")</f>
        <v>#VALUE!</v>
      </c>
      <c r="G11" t="e">
        <f>AND(Sheet1!AE40,"AAAAAHe8vQY=")</f>
        <v>#VALUE!</v>
      </c>
      <c r="H11" t="e">
        <f>AND(Sheet1!AF40,"AAAAAHe8vQc=")</f>
        <v>#VALUE!</v>
      </c>
      <c r="I11" t="e">
        <f>AND(Sheet1!AG40,"AAAAAHe8vQg=")</f>
        <v>#VALUE!</v>
      </c>
      <c r="J11" t="e">
        <f>AND(Sheet1!AH40,"AAAAAHe8vQk=")</f>
        <v>#VALUE!</v>
      </c>
      <c r="K11" t="e">
        <f>AND(Sheet1!AI40,"AAAAAHe8vQo=")</f>
        <v>#VALUE!</v>
      </c>
      <c r="L11" t="e">
        <f>AND(Sheet1!AJ40,"AAAAAHe8vQs=")</f>
        <v>#VALUE!</v>
      </c>
      <c r="M11" t="e">
        <f>AND(Sheet1!AK40,"AAAAAHe8vQw=")</f>
        <v>#VALUE!</v>
      </c>
      <c r="N11" t="e">
        <f>AND(Sheet1!AL40,"AAAAAHe8vQ0=")</f>
        <v>#VALUE!</v>
      </c>
      <c r="O11" t="e">
        <f>AND(Sheet1!AM40,"AAAAAHe8vQ4=")</f>
        <v>#VALUE!</v>
      </c>
      <c r="P11" t="e">
        <f>AND(Sheet1!AN40,"AAAAAHe8vQ8=")</f>
        <v>#VALUE!</v>
      </c>
      <c r="Q11" t="e">
        <f>AND(Sheet1!AO40,"AAAAAHe8vRA=")</f>
        <v>#VALUE!</v>
      </c>
      <c r="R11" t="e">
        <f>AND(Sheet1!AP40,"AAAAAHe8vRE=")</f>
        <v>#VALUE!</v>
      </c>
      <c r="S11" t="e">
        <f>AND(Sheet1!AQ40,"AAAAAHe8vRI=")</f>
        <v>#VALUE!</v>
      </c>
      <c r="T11" t="e">
        <f>AND(Sheet1!AR40,"AAAAAHe8vRM=")</f>
        <v>#VALUE!</v>
      </c>
      <c r="U11" t="e">
        <f>AND(Sheet1!AS40,"AAAAAHe8vRQ=")</f>
        <v>#VALUE!</v>
      </c>
      <c r="V11" t="e">
        <f>AND(Sheet1!AT40,"AAAAAHe8vRU=")</f>
        <v>#VALUE!</v>
      </c>
      <c r="W11" t="e">
        <f>AND(Sheet1!AU40,"AAAAAHe8vRY=")</f>
        <v>#VALUE!</v>
      </c>
      <c r="X11" t="e">
        <f>AND(Sheet1!AV40,"AAAAAHe8vRc=")</f>
        <v>#VALUE!</v>
      </c>
      <c r="Y11" t="e">
        <f>AND(Sheet1!AW40,"AAAAAHe8vRg=")</f>
        <v>#VALUE!</v>
      </c>
      <c r="Z11" t="e">
        <f>AND(Sheet1!AX40,"AAAAAHe8vRk=")</f>
        <v>#VALUE!</v>
      </c>
      <c r="AA11" t="e">
        <f>AND(Sheet1!AY40,"AAAAAHe8vRo=")</f>
        <v>#VALUE!</v>
      </c>
      <c r="AB11" t="e">
        <f>AND(Sheet1!AZ40,"AAAAAHe8vRs=")</f>
        <v>#VALUE!</v>
      </c>
      <c r="AC11" t="e">
        <f>AND(Sheet1!BA40,"AAAAAHe8vRw=")</f>
        <v>#VALUE!</v>
      </c>
      <c r="AD11" t="e">
        <f>AND(Sheet1!BB40,"AAAAAHe8vR0=")</f>
        <v>#VALUE!</v>
      </c>
      <c r="AE11" t="e">
        <f>AND(Sheet1!BC40,"AAAAAHe8vR4=")</f>
        <v>#VALUE!</v>
      </c>
      <c r="AF11" t="e">
        <f>AND(Sheet1!BD40,"AAAAAHe8vR8=")</f>
        <v>#VALUE!</v>
      </c>
      <c r="AG11" t="e">
        <f>AND(Sheet1!BE40,"AAAAAHe8vSA=")</f>
        <v>#VALUE!</v>
      </c>
      <c r="AH11" t="b">
        <f>AND(Sheet1!BF40,"AAAAAHe8vSE=")</f>
        <v>0</v>
      </c>
      <c r="AI11" t="e">
        <f>AND(Sheet1!BG40,"AAAAAHe8vSI=")</f>
        <v>#VALUE!</v>
      </c>
      <c r="AJ11" t="e">
        <f>AND(Sheet1!BH40,"AAAAAHe8vSM=")</f>
        <v>#VALUE!</v>
      </c>
      <c r="AK11" t="e">
        <f>AND(Sheet1!BI40,"AAAAAHe8vSQ=")</f>
        <v>#VALUE!</v>
      </c>
      <c r="AL11" t="e">
        <f>AND(Sheet1!BJ40,"AAAAAHe8vSU=")</f>
        <v>#VALUE!</v>
      </c>
      <c r="AM11" t="e">
        <f>AND(Sheet1!BK40,"AAAAAHe8vSY=")</f>
        <v>#VALUE!</v>
      </c>
      <c r="AN11" t="e">
        <f>AND(Sheet1!BL40,"AAAAAHe8vSc=")</f>
        <v>#VALUE!</v>
      </c>
      <c r="AO11">
        <f>IF(Sheet1!41:41,"AAAAAHe8vSg=",0)</f>
        <v>0</v>
      </c>
      <c r="AP11" t="e">
        <f>AND(Sheet1!A41,"AAAAAHe8vSk=")</f>
        <v>#VALUE!</v>
      </c>
      <c r="AQ11" t="e">
        <f>AND(Sheet1!B41,"AAAAAHe8vSo=")</f>
        <v>#VALUE!</v>
      </c>
      <c r="AR11" t="e">
        <f>AND(Sheet1!C41,"AAAAAHe8vSs=")</f>
        <v>#VALUE!</v>
      </c>
      <c r="AS11" t="e">
        <f>AND(Sheet1!D41,"AAAAAHe8vSw=")</f>
        <v>#VALUE!</v>
      </c>
      <c r="AT11" t="e">
        <f>AND(Sheet1!E41,"AAAAAHe8vS0=")</f>
        <v>#VALUE!</v>
      </c>
      <c r="AU11" t="e">
        <f>AND(Sheet1!F41,"AAAAAHe8vS4=")</f>
        <v>#VALUE!</v>
      </c>
      <c r="AV11" t="e">
        <f>AND(Sheet1!G41,"AAAAAHe8vS8=")</f>
        <v>#VALUE!</v>
      </c>
      <c r="AW11" t="e">
        <f>AND(Sheet1!H41,"AAAAAHe8vTA=")</f>
        <v>#VALUE!</v>
      </c>
      <c r="AX11" t="e">
        <f>AND(Sheet1!I41,"AAAAAHe8vTE=")</f>
        <v>#VALUE!</v>
      </c>
      <c r="AY11" t="e">
        <f>AND(Sheet1!J41,"AAAAAHe8vTI=")</f>
        <v>#VALUE!</v>
      </c>
      <c r="AZ11" t="e">
        <f>AND(Sheet1!K41,"AAAAAHe8vTM=")</f>
        <v>#VALUE!</v>
      </c>
      <c r="BA11" t="e">
        <f>AND(Sheet1!L41,"AAAAAHe8vTQ=")</f>
        <v>#VALUE!</v>
      </c>
      <c r="BB11" t="e">
        <f>AND(Sheet1!M41,"AAAAAHe8vTU=")</f>
        <v>#VALUE!</v>
      </c>
      <c r="BC11" t="e">
        <f>AND(Sheet1!N41,"AAAAAHe8vTY=")</f>
        <v>#VALUE!</v>
      </c>
      <c r="BD11" t="e">
        <f>AND(Sheet1!O41,"AAAAAHe8vTc=")</f>
        <v>#VALUE!</v>
      </c>
      <c r="BE11" t="e">
        <f>AND(Sheet1!P41,"AAAAAHe8vTg=")</f>
        <v>#VALUE!</v>
      </c>
      <c r="BF11" t="e">
        <f>AND(Sheet1!Q41,"AAAAAHe8vTk=")</f>
        <v>#VALUE!</v>
      </c>
      <c r="BG11" t="e">
        <f>AND(Sheet1!R41,"AAAAAHe8vTo=")</f>
        <v>#VALUE!</v>
      </c>
      <c r="BH11" t="e">
        <f>AND(Sheet1!S41,"AAAAAHe8vTs=")</f>
        <v>#VALUE!</v>
      </c>
      <c r="BI11" t="e">
        <f>AND(Sheet1!T41,"AAAAAHe8vTw=")</f>
        <v>#VALUE!</v>
      </c>
      <c r="BJ11" t="e">
        <f>AND(Sheet1!U41,"AAAAAHe8vT0=")</f>
        <v>#VALUE!</v>
      </c>
      <c r="BK11" t="e">
        <f>AND(Sheet1!V41,"AAAAAHe8vT4=")</f>
        <v>#VALUE!</v>
      </c>
      <c r="BL11" t="e">
        <f>AND(Sheet1!W41,"AAAAAHe8vT8=")</f>
        <v>#VALUE!</v>
      </c>
      <c r="BM11" t="e">
        <f>AND(Sheet1!X41,"AAAAAHe8vUA=")</f>
        <v>#VALUE!</v>
      </c>
      <c r="BN11" t="e">
        <f>AND(Sheet1!Y41,"AAAAAHe8vUE=")</f>
        <v>#VALUE!</v>
      </c>
      <c r="BO11" t="e">
        <f>AND(Sheet1!Z41,"AAAAAHe8vUI=")</f>
        <v>#VALUE!</v>
      </c>
      <c r="BP11" t="e">
        <f>AND(Sheet1!AA41,"AAAAAHe8vUM=")</f>
        <v>#VALUE!</v>
      </c>
      <c r="BQ11" t="e">
        <f>AND(Sheet1!AB41,"AAAAAHe8vUQ=")</f>
        <v>#VALUE!</v>
      </c>
      <c r="BR11" t="e">
        <f>AND(Sheet1!AC41,"AAAAAHe8vUU=")</f>
        <v>#VALUE!</v>
      </c>
      <c r="BS11" t="e">
        <f>AND(Sheet1!AD41,"AAAAAHe8vUY=")</f>
        <v>#VALUE!</v>
      </c>
      <c r="BT11" t="e">
        <f>AND(Sheet1!AE41,"AAAAAHe8vUc=")</f>
        <v>#VALUE!</v>
      </c>
      <c r="BU11" t="e">
        <f>AND(Sheet1!AF41,"AAAAAHe8vUg=")</f>
        <v>#VALUE!</v>
      </c>
      <c r="BV11" t="e">
        <f>AND(Sheet1!AG41,"AAAAAHe8vUk=")</f>
        <v>#VALUE!</v>
      </c>
      <c r="BW11" t="e">
        <f>AND(Sheet1!AH41,"AAAAAHe8vUo=")</f>
        <v>#VALUE!</v>
      </c>
      <c r="BX11" t="e">
        <f>AND(Sheet1!AI41,"AAAAAHe8vUs=")</f>
        <v>#VALUE!</v>
      </c>
      <c r="BY11" t="e">
        <f>AND(Sheet1!AJ41,"AAAAAHe8vUw=")</f>
        <v>#VALUE!</v>
      </c>
      <c r="BZ11" t="e">
        <f>AND(Sheet1!AK41,"AAAAAHe8vU0=")</f>
        <v>#VALUE!</v>
      </c>
      <c r="CA11" t="e">
        <f>AND(Sheet1!AL41,"AAAAAHe8vU4=")</f>
        <v>#VALUE!</v>
      </c>
      <c r="CB11" t="e">
        <f>AND(Sheet1!AM41,"AAAAAHe8vU8=")</f>
        <v>#VALUE!</v>
      </c>
      <c r="CC11" t="e">
        <f>AND(Sheet1!AN41,"AAAAAHe8vVA=")</f>
        <v>#VALUE!</v>
      </c>
      <c r="CD11" t="e">
        <f>AND(Sheet1!AO41,"AAAAAHe8vVE=")</f>
        <v>#VALUE!</v>
      </c>
      <c r="CE11" t="e">
        <f>AND(Sheet1!AP41,"AAAAAHe8vVI=")</f>
        <v>#VALUE!</v>
      </c>
      <c r="CF11" t="e">
        <f>AND(Sheet1!AQ41,"AAAAAHe8vVM=")</f>
        <v>#VALUE!</v>
      </c>
      <c r="CG11" t="e">
        <f>AND(Sheet1!AR41,"AAAAAHe8vVQ=")</f>
        <v>#VALUE!</v>
      </c>
      <c r="CH11" t="e">
        <f>AND(Sheet1!AS41,"AAAAAHe8vVU=")</f>
        <v>#VALUE!</v>
      </c>
      <c r="CI11" t="e">
        <f>AND(Sheet1!AT41,"AAAAAHe8vVY=")</f>
        <v>#VALUE!</v>
      </c>
      <c r="CJ11" t="e">
        <f>AND(Sheet1!AU41,"AAAAAHe8vVc=")</f>
        <v>#VALUE!</v>
      </c>
      <c r="CK11" t="e">
        <f>AND(Sheet1!AV41,"AAAAAHe8vVg=")</f>
        <v>#VALUE!</v>
      </c>
      <c r="CL11" t="e">
        <f>AND(Sheet1!AW41,"AAAAAHe8vVk=")</f>
        <v>#VALUE!</v>
      </c>
      <c r="CM11" t="e">
        <f>AND(Sheet1!AX41,"AAAAAHe8vVo=")</f>
        <v>#VALUE!</v>
      </c>
      <c r="CN11" t="e">
        <f>AND(Sheet1!AY41,"AAAAAHe8vVs=")</f>
        <v>#VALUE!</v>
      </c>
      <c r="CO11" t="e">
        <f>AND(Sheet1!AZ41,"AAAAAHe8vVw=")</f>
        <v>#VALUE!</v>
      </c>
      <c r="CP11" t="e">
        <f>AND(Sheet1!BA41,"AAAAAHe8vV0=")</f>
        <v>#VALUE!</v>
      </c>
      <c r="CQ11" t="e">
        <f>AND(Sheet1!BB41,"AAAAAHe8vV4=")</f>
        <v>#VALUE!</v>
      </c>
      <c r="CR11" t="e">
        <f>AND(Sheet1!BC41,"AAAAAHe8vV8=")</f>
        <v>#VALUE!</v>
      </c>
      <c r="CS11" t="e">
        <f>AND(Sheet1!BD41,"AAAAAHe8vWA=")</f>
        <v>#VALUE!</v>
      </c>
      <c r="CT11" t="e">
        <f>AND(Sheet1!BE41,"AAAAAHe8vWE=")</f>
        <v>#VALUE!</v>
      </c>
      <c r="CU11" t="b">
        <f>AND(Sheet1!BF41,"AAAAAHe8vWI=")</f>
        <v>0</v>
      </c>
      <c r="CV11" t="e">
        <f>AND(Sheet1!BG41,"AAAAAHe8vWM=")</f>
        <v>#VALUE!</v>
      </c>
      <c r="CW11" t="e">
        <f>AND(Sheet1!BH41,"AAAAAHe8vWQ=")</f>
        <v>#VALUE!</v>
      </c>
      <c r="CX11" t="e">
        <f>AND(Sheet1!BI41,"AAAAAHe8vWU=")</f>
        <v>#VALUE!</v>
      </c>
      <c r="CY11" t="e">
        <f>AND(Sheet1!BJ41,"AAAAAHe8vWY=")</f>
        <v>#VALUE!</v>
      </c>
      <c r="CZ11" t="e">
        <f>AND(Sheet1!BK41,"AAAAAHe8vWc=")</f>
        <v>#VALUE!</v>
      </c>
      <c r="DA11" t="e">
        <f>AND(Sheet1!BL41,"AAAAAHe8vWg=")</f>
        <v>#VALUE!</v>
      </c>
      <c r="DB11">
        <f>IF(Sheet1!42:42,"AAAAAHe8vWk=",0)</f>
        <v>0</v>
      </c>
      <c r="DC11" t="e">
        <f>AND(Sheet1!A42,"AAAAAHe8vWo=")</f>
        <v>#VALUE!</v>
      </c>
      <c r="DD11" t="e">
        <f>AND(Sheet1!B42,"AAAAAHe8vWs=")</f>
        <v>#VALUE!</v>
      </c>
      <c r="DE11" t="e">
        <f>AND(Sheet1!C42,"AAAAAHe8vWw=")</f>
        <v>#VALUE!</v>
      </c>
      <c r="DF11" t="e">
        <f>AND(Sheet1!D42,"AAAAAHe8vW0=")</f>
        <v>#VALUE!</v>
      </c>
      <c r="DG11" t="e">
        <f>AND(Sheet1!E42,"AAAAAHe8vW4=")</f>
        <v>#VALUE!</v>
      </c>
      <c r="DH11" t="e">
        <f>AND(Sheet1!F42,"AAAAAHe8vW8=")</f>
        <v>#VALUE!</v>
      </c>
      <c r="DI11" t="e">
        <f>AND(Sheet1!G42,"AAAAAHe8vXA=")</f>
        <v>#VALUE!</v>
      </c>
      <c r="DJ11" t="e">
        <f>AND(Sheet1!H42,"AAAAAHe8vXE=")</f>
        <v>#VALUE!</v>
      </c>
      <c r="DK11" t="e">
        <f>AND(Sheet1!I42,"AAAAAHe8vXI=")</f>
        <v>#VALUE!</v>
      </c>
      <c r="DL11" t="e">
        <f>AND(Sheet1!J42,"AAAAAHe8vXM=")</f>
        <v>#VALUE!</v>
      </c>
      <c r="DM11" t="e">
        <f>AND(Sheet1!K42,"AAAAAHe8vXQ=")</f>
        <v>#VALUE!</v>
      </c>
      <c r="DN11" t="e">
        <f>AND(Sheet1!L42,"AAAAAHe8vXU=")</f>
        <v>#VALUE!</v>
      </c>
      <c r="DO11" t="e">
        <f>AND(Sheet1!M42,"AAAAAHe8vXY=")</f>
        <v>#VALUE!</v>
      </c>
      <c r="DP11" t="e">
        <f>AND(Sheet1!N42,"AAAAAHe8vXc=")</f>
        <v>#VALUE!</v>
      </c>
      <c r="DQ11" t="e">
        <f>AND(Sheet1!O42,"AAAAAHe8vXg=")</f>
        <v>#VALUE!</v>
      </c>
      <c r="DR11" t="e">
        <f>AND(Sheet1!P42,"AAAAAHe8vXk=")</f>
        <v>#VALUE!</v>
      </c>
      <c r="DS11" t="e">
        <f>AND(Sheet1!Q42,"AAAAAHe8vXo=")</f>
        <v>#VALUE!</v>
      </c>
      <c r="DT11" t="e">
        <f>AND(Sheet1!R42,"AAAAAHe8vXs=")</f>
        <v>#VALUE!</v>
      </c>
      <c r="DU11" t="e">
        <f>AND(Sheet1!S42,"AAAAAHe8vXw=")</f>
        <v>#VALUE!</v>
      </c>
      <c r="DV11" t="e">
        <f>AND(Sheet1!T42,"AAAAAHe8vX0=")</f>
        <v>#VALUE!</v>
      </c>
      <c r="DW11" t="e">
        <f>AND(Sheet1!U42,"AAAAAHe8vX4=")</f>
        <v>#VALUE!</v>
      </c>
      <c r="DX11" t="e">
        <f>AND(Sheet1!V42,"AAAAAHe8vX8=")</f>
        <v>#VALUE!</v>
      </c>
      <c r="DY11" t="e">
        <f>AND(Sheet1!W42,"AAAAAHe8vYA=")</f>
        <v>#VALUE!</v>
      </c>
      <c r="DZ11" t="e">
        <f>AND(Sheet1!X42,"AAAAAHe8vYE=")</f>
        <v>#VALUE!</v>
      </c>
      <c r="EA11" t="e">
        <f>AND(Sheet1!Y42,"AAAAAHe8vYI=")</f>
        <v>#VALUE!</v>
      </c>
      <c r="EB11" t="e">
        <f>AND(Sheet1!Z42,"AAAAAHe8vYM=")</f>
        <v>#VALUE!</v>
      </c>
      <c r="EC11" t="e">
        <f>AND(Sheet1!AA42,"AAAAAHe8vYQ=")</f>
        <v>#VALUE!</v>
      </c>
      <c r="ED11" t="e">
        <f>AND(Sheet1!AB42,"AAAAAHe8vYU=")</f>
        <v>#VALUE!</v>
      </c>
      <c r="EE11" t="e">
        <f>AND(Sheet1!AC42,"AAAAAHe8vYY=")</f>
        <v>#VALUE!</v>
      </c>
      <c r="EF11" t="e">
        <f>AND(Sheet1!AD42,"AAAAAHe8vYc=")</f>
        <v>#VALUE!</v>
      </c>
      <c r="EG11" t="e">
        <f>AND(Sheet1!AE42,"AAAAAHe8vYg=")</f>
        <v>#VALUE!</v>
      </c>
      <c r="EH11" t="e">
        <f>AND(Sheet1!AF42,"AAAAAHe8vYk=")</f>
        <v>#VALUE!</v>
      </c>
      <c r="EI11" t="e">
        <f>AND(Sheet1!AG42,"AAAAAHe8vYo=")</f>
        <v>#VALUE!</v>
      </c>
      <c r="EJ11" t="e">
        <f>AND(Sheet1!AH42,"AAAAAHe8vYs=")</f>
        <v>#VALUE!</v>
      </c>
      <c r="EK11" t="e">
        <f>AND(Sheet1!AI42,"AAAAAHe8vYw=")</f>
        <v>#VALUE!</v>
      </c>
      <c r="EL11" t="e">
        <f>AND(Sheet1!AJ42,"AAAAAHe8vY0=")</f>
        <v>#VALUE!</v>
      </c>
      <c r="EM11" t="e">
        <f>AND(Sheet1!AK42,"AAAAAHe8vY4=")</f>
        <v>#VALUE!</v>
      </c>
      <c r="EN11" t="e">
        <f>AND(Sheet1!AL42,"AAAAAHe8vY8=")</f>
        <v>#VALUE!</v>
      </c>
      <c r="EO11" t="e">
        <f>AND(Sheet1!AM42,"AAAAAHe8vZA=")</f>
        <v>#VALUE!</v>
      </c>
      <c r="EP11" t="e">
        <f>AND(Sheet1!AN42,"AAAAAHe8vZE=")</f>
        <v>#VALUE!</v>
      </c>
      <c r="EQ11" t="e">
        <f>AND(Sheet1!AO42,"AAAAAHe8vZI=")</f>
        <v>#VALUE!</v>
      </c>
      <c r="ER11" t="e">
        <f>AND(Sheet1!AP42,"AAAAAHe8vZM=")</f>
        <v>#VALUE!</v>
      </c>
      <c r="ES11" t="e">
        <f>AND(Sheet1!AQ42,"AAAAAHe8vZQ=")</f>
        <v>#VALUE!</v>
      </c>
      <c r="ET11" t="e">
        <f>AND(Sheet1!AR42,"AAAAAHe8vZU=")</f>
        <v>#VALUE!</v>
      </c>
      <c r="EU11" t="e">
        <f>AND(Sheet1!AS42,"AAAAAHe8vZY=")</f>
        <v>#VALUE!</v>
      </c>
      <c r="EV11" t="e">
        <f>AND(Sheet1!AT42,"AAAAAHe8vZc=")</f>
        <v>#VALUE!</v>
      </c>
      <c r="EW11" t="e">
        <f>AND(Sheet1!AU42,"AAAAAHe8vZg=")</f>
        <v>#VALUE!</v>
      </c>
      <c r="EX11" t="e">
        <f>AND(Sheet1!AV42,"AAAAAHe8vZk=")</f>
        <v>#VALUE!</v>
      </c>
      <c r="EY11" t="e">
        <f>AND(Sheet1!AW42,"AAAAAHe8vZo=")</f>
        <v>#VALUE!</v>
      </c>
      <c r="EZ11" t="e">
        <f>AND(Sheet1!AX42,"AAAAAHe8vZs=")</f>
        <v>#VALUE!</v>
      </c>
      <c r="FA11" t="e">
        <f>AND(Sheet1!AY42,"AAAAAHe8vZw=")</f>
        <v>#VALUE!</v>
      </c>
      <c r="FB11" t="e">
        <f>AND(Sheet1!AZ42,"AAAAAHe8vZ0=")</f>
        <v>#VALUE!</v>
      </c>
      <c r="FC11" t="e">
        <f>AND(Sheet1!BA42,"AAAAAHe8vZ4=")</f>
        <v>#VALUE!</v>
      </c>
      <c r="FD11" t="e">
        <f>AND(Sheet1!BB42,"AAAAAHe8vZ8=")</f>
        <v>#VALUE!</v>
      </c>
      <c r="FE11" t="e">
        <f>AND(Sheet1!BC42,"AAAAAHe8vaA=")</f>
        <v>#VALUE!</v>
      </c>
      <c r="FF11" t="e">
        <f>AND(Sheet1!BD42,"AAAAAHe8vaE=")</f>
        <v>#VALUE!</v>
      </c>
      <c r="FG11" t="e">
        <f>AND(Sheet1!BE42,"AAAAAHe8vaI=")</f>
        <v>#VALUE!</v>
      </c>
      <c r="FH11" t="b">
        <f>AND(Sheet1!BF42,"AAAAAHe8vaM=")</f>
        <v>0</v>
      </c>
      <c r="FI11" t="e">
        <f>AND(Sheet1!BG42,"AAAAAHe8vaQ=")</f>
        <v>#VALUE!</v>
      </c>
      <c r="FJ11" t="e">
        <f>AND(Sheet1!BH42,"AAAAAHe8vaU=")</f>
        <v>#VALUE!</v>
      </c>
      <c r="FK11" t="e">
        <f>AND(Sheet1!BI42,"AAAAAHe8vaY=")</f>
        <v>#VALUE!</v>
      </c>
      <c r="FL11" t="e">
        <f>AND(Sheet1!BJ42,"AAAAAHe8vac=")</f>
        <v>#VALUE!</v>
      </c>
      <c r="FM11" t="e">
        <f>AND(Sheet1!BK42,"AAAAAHe8vag=")</f>
        <v>#VALUE!</v>
      </c>
      <c r="FN11" t="e">
        <f>AND(Sheet1!BL42,"AAAAAHe8vak=")</f>
        <v>#VALUE!</v>
      </c>
      <c r="FO11">
        <f>IF(Sheet1!43:43,"AAAAAHe8vao=",0)</f>
        <v>0</v>
      </c>
      <c r="FP11" t="e">
        <f>AND(Sheet1!A43,"AAAAAHe8vas=")</f>
        <v>#VALUE!</v>
      </c>
      <c r="FQ11" t="e">
        <f>AND(Sheet1!B43,"AAAAAHe8vaw=")</f>
        <v>#VALUE!</v>
      </c>
      <c r="FR11" t="e">
        <f>AND(Sheet1!C43,"AAAAAHe8va0=")</f>
        <v>#VALUE!</v>
      </c>
      <c r="FS11" t="e">
        <f>AND(Sheet1!D43,"AAAAAHe8va4=")</f>
        <v>#VALUE!</v>
      </c>
      <c r="FT11" t="e">
        <f>AND(Sheet1!E43,"AAAAAHe8va8=")</f>
        <v>#VALUE!</v>
      </c>
      <c r="FU11" t="e">
        <f>AND(Sheet1!F43,"AAAAAHe8vbA=")</f>
        <v>#VALUE!</v>
      </c>
      <c r="FV11" t="e">
        <f>AND(Sheet1!G43,"AAAAAHe8vbE=")</f>
        <v>#VALUE!</v>
      </c>
      <c r="FW11" t="e">
        <f>AND(Sheet1!H43,"AAAAAHe8vbI=")</f>
        <v>#VALUE!</v>
      </c>
      <c r="FX11" t="e">
        <f>AND(Sheet1!I43,"AAAAAHe8vbM=")</f>
        <v>#VALUE!</v>
      </c>
      <c r="FY11" t="e">
        <f>AND(Sheet1!J43,"AAAAAHe8vbQ=")</f>
        <v>#VALUE!</v>
      </c>
      <c r="FZ11" t="e">
        <f>AND(Sheet1!K43,"AAAAAHe8vbU=")</f>
        <v>#VALUE!</v>
      </c>
      <c r="GA11" t="e">
        <f>AND(Sheet1!L43,"AAAAAHe8vbY=")</f>
        <v>#VALUE!</v>
      </c>
      <c r="GB11" t="e">
        <f>AND(Sheet1!M43,"AAAAAHe8vbc=")</f>
        <v>#VALUE!</v>
      </c>
      <c r="GC11" t="e">
        <f>AND(Sheet1!N43,"AAAAAHe8vbg=")</f>
        <v>#VALUE!</v>
      </c>
      <c r="GD11" t="e">
        <f>AND(Sheet1!O43,"AAAAAHe8vbk=")</f>
        <v>#VALUE!</v>
      </c>
      <c r="GE11" t="e">
        <f>AND(Sheet1!P43,"AAAAAHe8vbo=")</f>
        <v>#VALUE!</v>
      </c>
      <c r="GF11" t="e">
        <f>AND(Sheet1!Q43,"AAAAAHe8vbs=")</f>
        <v>#VALUE!</v>
      </c>
      <c r="GG11" t="e">
        <f>AND(Sheet1!R43,"AAAAAHe8vbw=")</f>
        <v>#VALUE!</v>
      </c>
      <c r="GH11" t="e">
        <f>AND(Sheet1!S43,"AAAAAHe8vb0=")</f>
        <v>#VALUE!</v>
      </c>
      <c r="GI11" t="e">
        <f>AND(Sheet1!T43,"AAAAAHe8vb4=")</f>
        <v>#VALUE!</v>
      </c>
      <c r="GJ11" t="e">
        <f>AND(Sheet1!U43,"AAAAAHe8vb8=")</f>
        <v>#VALUE!</v>
      </c>
      <c r="GK11" t="e">
        <f>AND(Sheet1!V43,"AAAAAHe8vcA=")</f>
        <v>#VALUE!</v>
      </c>
      <c r="GL11" t="e">
        <f>AND(Sheet1!W43,"AAAAAHe8vcE=")</f>
        <v>#VALUE!</v>
      </c>
      <c r="GM11" t="e">
        <f>AND(Sheet1!X43,"AAAAAHe8vcI=")</f>
        <v>#VALUE!</v>
      </c>
      <c r="GN11" t="e">
        <f>AND(Sheet1!Y43,"AAAAAHe8vcM=")</f>
        <v>#VALUE!</v>
      </c>
      <c r="GO11" t="e">
        <f>AND(Sheet1!Z43,"AAAAAHe8vcQ=")</f>
        <v>#VALUE!</v>
      </c>
      <c r="GP11" t="e">
        <f>AND(Sheet1!AA43,"AAAAAHe8vcU=")</f>
        <v>#VALUE!</v>
      </c>
      <c r="GQ11" t="e">
        <f>AND(Sheet1!AB43,"AAAAAHe8vcY=")</f>
        <v>#VALUE!</v>
      </c>
      <c r="GR11" t="e">
        <f>AND(Sheet1!AC43,"AAAAAHe8vcc=")</f>
        <v>#VALUE!</v>
      </c>
      <c r="GS11" t="e">
        <f>AND(Sheet1!AD43,"AAAAAHe8vcg=")</f>
        <v>#VALUE!</v>
      </c>
      <c r="GT11" t="e">
        <f>AND(Sheet1!AE43,"AAAAAHe8vck=")</f>
        <v>#VALUE!</v>
      </c>
      <c r="GU11" t="e">
        <f>AND(Sheet1!AF43,"AAAAAHe8vco=")</f>
        <v>#VALUE!</v>
      </c>
      <c r="GV11" t="e">
        <f>AND(Sheet1!AG43,"AAAAAHe8vcs=")</f>
        <v>#VALUE!</v>
      </c>
      <c r="GW11" t="e">
        <f>AND(Sheet1!AH43,"AAAAAHe8vcw=")</f>
        <v>#VALUE!</v>
      </c>
      <c r="GX11" t="e">
        <f>AND(Sheet1!AI43,"AAAAAHe8vc0=")</f>
        <v>#VALUE!</v>
      </c>
      <c r="GY11" t="e">
        <f>AND(Sheet1!AJ43,"AAAAAHe8vc4=")</f>
        <v>#VALUE!</v>
      </c>
      <c r="GZ11" t="e">
        <f>AND(Sheet1!AK43,"AAAAAHe8vc8=")</f>
        <v>#VALUE!</v>
      </c>
      <c r="HA11" t="e">
        <f>AND(Sheet1!AL43,"AAAAAHe8vdA=")</f>
        <v>#VALUE!</v>
      </c>
      <c r="HB11" t="e">
        <f>AND(Sheet1!AM43,"AAAAAHe8vdE=")</f>
        <v>#VALUE!</v>
      </c>
      <c r="HC11" t="e">
        <f>AND(Sheet1!AN43,"AAAAAHe8vdI=")</f>
        <v>#VALUE!</v>
      </c>
      <c r="HD11" t="e">
        <f>AND(Sheet1!AO43,"AAAAAHe8vdM=")</f>
        <v>#VALUE!</v>
      </c>
      <c r="HE11" t="e">
        <f>AND(Sheet1!AP43,"AAAAAHe8vdQ=")</f>
        <v>#VALUE!</v>
      </c>
      <c r="HF11" t="e">
        <f>AND(Sheet1!AQ43,"AAAAAHe8vdU=")</f>
        <v>#VALUE!</v>
      </c>
      <c r="HG11" t="e">
        <f>AND(Sheet1!AR43,"AAAAAHe8vdY=")</f>
        <v>#VALUE!</v>
      </c>
      <c r="HH11" t="e">
        <f>AND(Sheet1!AS43,"AAAAAHe8vdc=")</f>
        <v>#VALUE!</v>
      </c>
      <c r="HI11" t="e">
        <f>AND(Sheet1!AT43,"AAAAAHe8vdg=")</f>
        <v>#VALUE!</v>
      </c>
      <c r="HJ11" t="e">
        <f>AND(Sheet1!AU43,"AAAAAHe8vdk=")</f>
        <v>#VALUE!</v>
      </c>
      <c r="HK11" t="e">
        <f>AND(Sheet1!AV43,"AAAAAHe8vdo=")</f>
        <v>#VALUE!</v>
      </c>
      <c r="HL11" t="e">
        <f>AND(Sheet1!AW43,"AAAAAHe8vds=")</f>
        <v>#VALUE!</v>
      </c>
      <c r="HM11" t="e">
        <f>AND(Sheet1!AX43,"AAAAAHe8vdw=")</f>
        <v>#VALUE!</v>
      </c>
      <c r="HN11" t="e">
        <f>AND(Sheet1!AY43,"AAAAAHe8vd0=")</f>
        <v>#VALUE!</v>
      </c>
      <c r="HO11" t="e">
        <f>AND(Sheet1!AZ43,"AAAAAHe8vd4=")</f>
        <v>#VALUE!</v>
      </c>
      <c r="HP11" t="e">
        <f>AND(Sheet1!BA43,"AAAAAHe8vd8=")</f>
        <v>#VALUE!</v>
      </c>
      <c r="HQ11" t="e">
        <f>AND(Sheet1!BB43,"AAAAAHe8veA=")</f>
        <v>#VALUE!</v>
      </c>
      <c r="HR11" t="e">
        <f>AND(Sheet1!BC43,"AAAAAHe8veE=")</f>
        <v>#VALUE!</v>
      </c>
      <c r="HS11" t="e">
        <f>AND(Sheet1!BD43,"AAAAAHe8veI=")</f>
        <v>#VALUE!</v>
      </c>
      <c r="HT11" t="e">
        <f>AND(Sheet1!BE43,"AAAAAHe8veM=")</f>
        <v>#VALUE!</v>
      </c>
      <c r="HU11" t="e">
        <f>AND(Sheet1!BF43,"AAAAAHe8veQ=")</f>
        <v>#VALUE!</v>
      </c>
      <c r="HV11" t="e">
        <f>AND(Sheet1!BG43,"AAAAAHe8veU=")</f>
        <v>#VALUE!</v>
      </c>
      <c r="HW11" t="e">
        <f>AND(Sheet1!BH43,"AAAAAHe8veY=")</f>
        <v>#VALUE!</v>
      </c>
      <c r="HX11" t="e">
        <f>AND(Sheet1!BI43,"AAAAAHe8vec=")</f>
        <v>#VALUE!</v>
      </c>
      <c r="HY11" t="e">
        <f>AND(Sheet1!BJ43,"AAAAAHe8veg=")</f>
        <v>#VALUE!</v>
      </c>
      <c r="HZ11" t="e">
        <f>AND(Sheet1!BK43,"AAAAAHe8vek=")</f>
        <v>#VALUE!</v>
      </c>
      <c r="IA11" t="e">
        <f>AND(Sheet1!BL43,"AAAAAHe8veo=")</f>
        <v>#VALUE!</v>
      </c>
      <c r="IB11">
        <f>IF(Sheet1!44:44,"AAAAAHe8ves=",0)</f>
        <v>0</v>
      </c>
      <c r="IC11" t="e">
        <f>AND(Sheet1!A44,"AAAAAHe8vew=")</f>
        <v>#VALUE!</v>
      </c>
      <c r="ID11" t="e">
        <f>AND(Sheet1!B44,"AAAAAHe8ve0=")</f>
        <v>#VALUE!</v>
      </c>
      <c r="IE11" t="e">
        <f>AND(Sheet1!C44,"AAAAAHe8ve4=")</f>
        <v>#VALUE!</v>
      </c>
      <c r="IF11" t="e">
        <f>AND(Sheet1!D44,"AAAAAHe8ve8=")</f>
        <v>#VALUE!</v>
      </c>
      <c r="IG11" t="e">
        <f>AND(Sheet1!E44,"AAAAAHe8vfA=")</f>
        <v>#VALUE!</v>
      </c>
      <c r="IH11" t="e">
        <f>AND(Sheet1!F44,"AAAAAHe8vfE=")</f>
        <v>#VALUE!</v>
      </c>
      <c r="II11" t="e">
        <f>AND(Sheet1!G44,"AAAAAHe8vfI=")</f>
        <v>#VALUE!</v>
      </c>
      <c r="IJ11" t="e">
        <f>AND(Sheet1!H44,"AAAAAHe8vfM=")</f>
        <v>#VALUE!</v>
      </c>
      <c r="IK11" t="e">
        <f>AND(Sheet1!I44,"AAAAAHe8vfQ=")</f>
        <v>#VALUE!</v>
      </c>
      <c r="IL11" t="e">
        <f>AND(Sheet1!J44,"AAAAAHe8vfU=")</f>
        <v>#VALUE!</v>
      </c>
      <c r="IM11" t="e">
        <f>AND(Sheet1!K44,"AAAAAHe8vfY=")</f>
        <v>#VALUE!</v>
      </c>
      <c r="IN11" t="e">
        <f>AND(Sheet1!L44,"AAAAAHe8vfc=")</f>
        <v>#VALUE!</v>
      </c>
      <c r="IO11" t="e">
        <f>AND(Sheet1!M44,"AAAAAHe8vfg=")</f>
        <v>#VALUE!</v>
      </c>
      <c r="IP11" t="e">
        <f>AND(Sheet1!N44,"AAAAAHe8vfk=")</f>
        <v>#VALUE!</v>
      </c>
      <c r="IQ11" t="e">
        <f>AND(Sheet1!O44,"AAAAAHe8vfo=")</f>
        <v>#VALUE!</v>
      </c>
      <c r="IR11" t="e">
        <f>AND(Sheet1!P44,"AAAAAHe8vfs=")</f>
        <v>#VALUE!</v>
      </c>
      <c r="IS11" t="e">
        <f>AND(Sheet1!Q44,"AAAAAHe8vfw=")</f>
        <v>#VALUE!</v>
      </c>
      <c r="IT11" t="e">
        <f>AND(Sheet1!R44,"AAAAAHe8vf0=")</f>
        <v>#VALUE!</v>
      </c>
      <c r="IU11" t="e">
        <f>AND(Sheet1!S44,"AAAAAHe8vf4=")</f>
        <v>#VALUE!</v>
      </c>
      <c r="IV11" t="e">
        <f>AND(Sheet1!T44,"AAAAAHe8vf8=")</f>
        <v>#VALUE!</v>
      </c>
    </row>
    <row r="12" spans="1:256" ht="12.75">
      <c r="A12" t="e">
        <f>AND(Sheet1!U44,"AAAAAH/96wA=")</f>
        <v>#VALUE!</v>
      </c>
      <c r="B12" t="e">
        <f>AND(Sheet1!V44,"AAAAAH/96wE=")</f>
        <v>#VALUE!</v>
      </c>
      <c r="C12" t="e">
        <f>AND(Sheet1!W44,"AAAAAH/96wI=")</f>
        <v>#VALUE!</v>
      </c>
      <c r="D12" t="e">
        <f>AND(Sheet1!X44,"AAAAAH/96wM=")</f>
        <v>#VALUE!</v>
      </c>
      <c r="E12" t="e">
        <f>AND(Sheet1!Y44,"AAAAAH/96wQ=")</f>
        <v>#VALUE!</v>
      </c>
      <c r="F12" t="e">
        <f>AND(Sheet1!Z44,"AAAAAH/96wU=")</f>
        <v>#VALUE!</v>
      </c>
      <c r="G12" t="e">
        <f>AND(Sheet1!AA44,"AAAAAH/96wY=")</f>
        <v>#VALUE!</v>
      </c>
      <c r="H12" t="e">
        <f>AND(Sheet1!AB44,"AAAAAH/96wc=")</f>
        <v>#VALUE!</v>
      </c>
      <c r="I12" t="e">
        <f>AND(Sheet1!AC44,"AAAAAH/96wg=")</f>
        <v>#VALUE!</v>
      </c>
      <c r="J12" t="e">
        <f>AND(Sheet1!AD44,"AAAAAH/96wk=")</f>
        <v>#VALUE!</v>
      </c>
      <c r="K12" t="e">
        <f>AND(Sheet1!AE44,"AAAAAH/96wo=")</f>
        <v>#VALUE!</v>
      </c>
      <c r="L12" t="e">
        <f>AND(Sheet1!AF44,"AAAAAH/96ws=")</f>
        <v>#VALUE!</v>
      </c>
      <c r="M12" t="e">
        <f>AND(Sheet1!AG44,"AAAAAH/96ww=")</f>
        <v>#VALUE!</v>
      </c>
      <c r="N12" t="e">
        <f>AND(Sheet1!AH44,"AAAAAH/96w0=")</f>
        <v>#VALUE!</v>
      </c>
      <c r="O12" t="e">
        <f>AND(Sheet1!AI44,"AAAAAH/96w4=")</f>
        <v>#VALUE!</v>
      </c>
      <c r="P12" t="e">
        <f>AND(Sheet1!AJ44,"AAAAAH/96w8=")</f>
        <v>#VALUE!</v>
      </c>
      <c r="Q12" t="e">
        <f>AND(Sheet1!AK44,"AAAAAH/96xA=")</f>
        <v>#VALUE!</v>
      </c>
      <c r="R12" t="e">
        <f>AND(Sheet1!AL44,"AAAAAH/96xE=")</f>
        <v>#VALUE!</v>
      </c>
      <c r="S12" t="e">
        <f>AND(Sheet1!AM44,"AAAAAH/96xI=")</f>
        <v>#VALUE!</v>
      </c>
      <c r="T12" t="e">
        <f>AND(Sheet1!AN44,"AAAAAH/96xM=")</f>
        <v>#VALUE!</v>
      </c>
      <c r="U12" t="e">
        <f>AND(Sheet1!AO44,"AAAAAH/96xQ=")</f>
        <v>#VALUE!</v>
      </c>
      <c r="V12" t="e">
        <f>AND(Sheet1!AP44,"AAAAAH/96xU=")</f>
        <v>#VALUE!</v>
      </c>
      <c r="W12" t="e">
        <f>AND(Sheet1!AQ44,"AAAAAH/96xY=")</f>
        <v>#VALUE!</v>
      </c>
      <c r="X12" t="e">
        <f>AND(Sheet1!AR44,"AAAAAH/96xc=")</f>
        <v>#VALUE!</v>
      </c>
      <c r="Y12" t="e">
        <f>AND(Sheet1!AS44,"AAAAAH/96xg=")</f>
        <v>#VALUE!</v>
      </c>
      <c r="Z12" t="e">
        <f>AND(Sheet1!AT44,"AAAAAH/96xk=")</f>
        <v>#VALUE!</v>
      </c>
      <c r="AA12" t="e">
        <f>AND(Sheet1!AU44,"AAAAAH/96xo=")</f>
        <v>#VALUE!</v>
      </c>
      <c r="AB12" t="e">
        <f>AND(Sheet1!AV44,"AAAAAH/96xs=")</f>
        <v>#VALUE!</v>
      </c>
      <c r="AC12" t="e">
        <f>AND(Sheet1!AW44,"AAAAAH/96xw=")</f>
        <v>#VALUE!</v>
      </c>
      <c r="AD12" t="e">
        <f>AND(Sheet1!AX44,"AAAAAH/96x0=")</f>
        <v>#VALUE!</v>
      </c>
      <c r="AE12" t="e">
        <f>AND(Sheet1!AY44,"AAAAAH/96x4=")</f>
        <v>#VALUE!</v>
      </c>
      <c r="AF12" t="e">
        <f>AND(Sheet1!AZ44,"AAAAAH/96x8=")</f>
        <v>#VALUE!</v>
      </c>
      <c r="AG12" t="e">
        <f>AND(Sheet1!BA44,"AAAAAH/96yA=")</f>
        <v>#VALUE!</v>
      </c>
      <c r="AH12" t="e">
        <f>AND(Sheet1!BB44,"AAAAAH/96yE=")</f>
        <v>#VALUE!</v>
      </c>
      <c r="AI12" t="e">
        <f>AND(Sheet1!BC44,"AAAAAH/96yI=")</f>
        <v>#VALUE!</v>
      </c>
      <c r="AJ12" t="e">
        <f>AND(Sheet1!BD44,"AAAAAH/96yM=")</f>
        <v>#VALUE!</v>
      </c>
      <c r="AK12" t="e">
        <f>AND(Sheet1!BE44,"AAAAAH/96yQ=")</f>
        <v>#VALUE!</v>
      </c>
      <c r="AL12" t="e">
        <f>AND(Sheet1!BF44,"AAAAAH/96yU=")</f>
        <v>#VALUE!</v>
      </c>
      <c r="AM12" t="e">
        <f>AND(Sheet1!BG44,"AAAAAH/96yY=")</f>
        <v>#VALUE!</v>
      </c>
      <c r="AN12" t="e">
        <f>AND(Sheet1!BH44,"AAAAAH/96yc=")</f>
        <v>#VALUE!</v>
      </c>
      <c r="AO12" t="e">
        <f>AND(Sheet1!BI44,"AAAAAH/96yg=")</f>
        <v>#VALUE!</v>
      </c>
      <c r="AP12" t="e">
        <f>AND(Sheet1!BJ44,"AAAAAH/96yk=")</f>
        <v>#VALUE!</v>
      </c>
      <c r="AQ12" t="e">
        <f>AND(Sheet1!BK44,"AAAAAH/96yo=")</f>
        <v>#VALUE!</v>
      </c>
      <c r="AR12" t="e">
        <f>AND(Sheet1!BL44,"AAAAAH/96ys=")</f>
        <v>#VALUE!</v>
      </c>
      <c r="AS12">
        <f>IF(Sheet1!45:45,"AAAAAH/96yw=",0)</f>
        <v>0</v>
      </c>
      <c r="AT12" t="e">
        <f>AND(Sheet1!A45,"AAAAAH/96y0=")</f>
        <v>#VALUE!</v>
      </c>
      <c r="AU12" t="e">
        <f>AND(Sheet1!B45,"AAAAAH/96y4=")</f>
        <v>#VALUE!</v>
      </c>
      <c r="AV12" t="e">
        <f>AND(Sheet1!C45,"AAAAAH/96y8=")</f>
        <v>#VALUE!</v>
      </c>
      <c r="AW12" t="e">
        <f>AND(Sheet1!D45,"AAAAAH/96zA=")</f>
        <v>#VALUE!</v>
      </c>
      <c r="AX12" t="e">
        <f>AND(Sheet1!E45,"AAAAAH/96zE=")</f>
        <v>#VALUE!</v>
      </c>
      <c r="AY12" t="e">
        <f>AND(Sheet1!F45,"AAAAAH/96zI=")</f>
        <v>#VALUE!</v>
      </c>
      <c r="AZ12" t="e">
        <f>AND(Sheet1!G45,"AAAAAH/96zM=")</f>
        <v>#VALUE!</v>
      </c>
      <c r="BA12" t="e">
        <f>AND(Sheet1!H45,"AAAAAH/96zQ=")</f>
        <v>#VALUE!</v>
      </c>
      <c r="BB12" t="e">
        <f>AND(Sheet1!I45,"AAAAAH/96zU=")</f>
        <v>#VALUE!</v>
      </c>
      <c r="BC12" t="e">
        <f>AND(Sheet1!J45,"AAAAAH/96zY=")</f>
        <v>#VALUE!</v>
      </c>
      <c r="BD12" t="e">
        <f>AND(Sheet1!K45,"AAAAAH/96zc=")</f>
        <v>#VALUE!</v>
      </c>
      <c r="BE12" t="e">
        <f>AND(Sheet1!L45,"AAAAAH/96zg=")</f>
        <v>#VALUE!</v>
      </c>
      <c r="BF12" t="e">
        <f>AND(Sheet1!M45,"AAAAAH/96zk=")</f>
        <v>#VALUE!</v>
      </c>
      <c r="BG12" t="e">
        <f>AND(Sheet1!N45,"AAAAAH/96zo=")</f>
        <v>#VALUE!</v>
      </c>
      <c r="BH12" t="e">
        <f>AND(Sheet1!O45,"AAAAAH/96zs=")</f>
        <v>#VALUE!</v>
      </c>
      <c r="BI12" t="e">
        <f>AND(Sheet1!P45,"AAAAAH/96zw=")</f>
        <v>#VALUE!</v>
      </c>
      <c r="BJ12" t="e">
        <f>AND(Sheet1!Q45,"AAAAAH/96z0=")</f>
        <v>#VALUE!</v>
      </c>
      <c r="BK12" t="e">
        <f>AND(Sheet1!R45,"AAAAAH/96z4=")</f>
        <v>#VALUE!</v>
      </c>
      <c r="BL12" t="e">
        <f>AND(Sheet1!S45,"AAAAAH/96z8=")</f>
        <v>#VALUE!</v>
      </c>
      <c r="BM12" t="e">
        <f>AND(Sheet1!T45,"AAAAAH/960A=")</f>
        <v>#VALUE!</v>
      </c>
      <c r="BN12" t="e">
        <f>AND(Sheet1!U45,"AAAAAH/960E=")</f>
        <v>#VALUE!</v>
      </c>
      <c r="BO12" t="e">
        <f>AND(Sheet1!V45,"AAAAAH/960I=")</f>
        <v>#VALUE!</v>
      </c>
      <c r="BP12" t="e">
        <f>AND(Sheet1!W45,"AAAAAH/960M=")</f>
        <v>#VALUE!</v>
      </c>
      <c r="BQ12" t="e">
        <f>AND(Sheet1!X45,"AAAAAH/960Q=")</f>
        <v>#VALUE!</v>
      </c>
      <c r="BR12" t="e">
        <f>AND(Sheet1!Y45,"AAAAAH/960U=")</f>
        <v>#VALUE!</v>
      </c>
      <c r="BS12" t="e">
        <f>AND(Sheet1!Z45,"AAAAAH/960Y=")</f>
        <v>#VALUE!</v>
      </c>
      <c r="BT12" t="e">
        <f>AND(Sheet1!AA45,"AAAAAH/960c=")</f>
        <v>#VALUE!</v>
      </c>
      <c r="BU12" t="e">
        <f>AND(Sheet1!AB45,"AAAAAH/960g=")</f>
        <v>#VALUE!</v>
      </c>
      <c r="BV12" t="e">
        <f>AND(Sheet1!AC45,"AAAAAH/960k=")</f>
        <v>#VALUE!</v>
      </c>
      <c r="BW12" t="e">
        <f>AND(Sheet1!AD45,"AAAAAH/960o=")</f>
        <v>#VALUE!</v>
      </c>
      <c r="BX12" t="e">
        <f>AND(Sheet1!AE45,"AAAAAH/960s=")</f>
        <v>#VALUE!</v>
      </c>
      <c r="BY12" t="e">
        <f>AND(Sheet1!AF45,"AAAAAH/960w=")</f>
        <v>#VALUE!</v>
      </c>
      <c r="BZ12" t="e">
        <f>AND(Sheet1!AG45,"AAAAAH/9600=")</f>
        <v>#VALUE!</v>
      </c>
      <c r="CA12" t="e">
        <f>AND(Sheet1!AH45,"AAAAAH/9604=")</f>
        <v>#VALUE!</v>
      </c>
      <c r="CB12" t="e">
        <f>AND(Sheet1!AI45,"AAAAAH/9608=")</f>
        <v>#VALUE!</v>
      </c>
      <c r="CC12" t="e">
        <f>AND(Sheet1!AJ45,"AAAAAH/961A=")</f>
        <v>#VALUE!</v>
      </c>
      <c r="CD12" t="e">
        <f>AND(Sheet1!AK45,"AAAAAH/961E=")</f>
        <v>#VALUE!</v>
      </c>
      <c r="CE12" t="e">
        <f>AND(Sheet1!AL45,"AAAAAH/961I=")</f>
        <v>#VALUE!</v>
      </c>
      <c r="CF12" t="e">
        <f>AND(Sheet1!AM45,"AAAAAH/961M=")</f>
        <v>#VALUE!</v>
      </c>
      <c r="CG12" t="e">
        <f>AND(Sheet1!AN45,"AAAAAH/961Q=")</f>
        <v>#VALUE!</v>
      </c>
      <c r="CH12" t="e">
        <f>AND(Sheet1!AO45,"AAAAAH/961U=")</f>
        <v>#VALUE!</v>
      </c>
      <c r="CI12" t="e">
        <f>AND(Sheet1!AP45,"AAAAAH/961Y=")</f>
        <v>#VALUE!</v>
      </c>
      <c r="CJ12" t="e">
        <f>AND(Sheet1!AQ45,"AAAAAH/961c=")</f>
        <v>#VALUE!</v>
      </c>
      <c r="CK12" t="e">
        <f>AND(Sheet1!AR45,"AAAAAH/961g=")</f>
        <v>#VALUE!</v>
      </c>
      <c r="CL12" t="e">
        <f>AND(Sheet1!AS45,"AAAAAH/961k=")</f>
        <v>#VALUE!</v>
      </c>
      <c r="CM12" t="e">
        <f>AND(Sheet1!AT45,"AAAAAH/961o=")</f>
        <v>#VALUE!</v>
      </c>
      <c r="CN12" t="e">
        <f>AND(Sheet1!AU45,"AAAAAH/961s=")</f>
        <v>#VALUE!</v>
      </c>
      <c r="CO12" t="e">
        <f>AND(Sheet1!AV45,"AAAAAH/961w=")</f>
        <v>#VALUE!</v>
      </c>
      <c r="CP12" t="e">
        <f>AND(Sheet1!AW45,"AAAAAH/9610=")</f>
        <v>#VALUE!</v>
      </c>
      <c r="CQ12" t="e">
        <f>AND(Sheet1!AX45,"AAAAAH/9614=")</f>
        <v>#VALUE!</v>
      </c>
      <c r="CR12" t="e">
        <f>AND(Sheet1!AY45,"AAAAAH/9618=")</f>
        <v>#VALUE!</v>
      </c>
      <c r="CS12" t="e">
        <f>AND(Sheet1!AZ45,"AAAAAH/962A=")</f>
        <v>#VALUE!</v>
      </c>
      <c r="CT12" t="e">
        <f>AND(Sheet1!BA45,"AAAAAH/962E=")</f>
        <v>#VALUE!</v>
      </c>
      <c r="CU12" t="e">
        <f>AND(Sheet1!BB45,"AAAAAH/962I=")</f>
        <v>#VALUE!</v>
      </c>
      <c r="CV12" t="e">
        <f>AND(Sheet1!BC45,"AAAAAH/962M=")</f>
        <v>#VALUE!</v>
      </c>
      <c r="CW12" t="e">
        <f>AND(Sheet1!BD45,"AAAAAH/962Q=")</f>
        <v>#VALUE!</v>
      </c>
      <c r="CX12" t="e">
        <f>AND(Sheet1!BE45,"AAAAAH/962U=")</f>
        <v>#VALUE!</v>
      </c>
      <c r="CY12" t="e">
        <f>AND(Sheet1!BF45,"AAAAAH/962Y=")</f>
        <v>#VALUE!</v>
      </c>
      <c r="CZ12" t="e">
        <f>AND(Sheet1!BG45,"AAAAAH/962c=")</f>
        <v>#VALUE!</v>
      </c>
      <c r="DA12" t="e">
        <f>AND(Sheet1!BH45,"AAAAAH/962g=")</f>
        <v>#VALUE!</v>
      </c>
      <c r="DB12" t="e">
        <f>AND(Sheet1!BI45,"AAAAAH/962k=")</f>
        <v>#VALUE!</v>
      </c>
      <c r="DC12" t="e">
        <f>AND(Sheet1!BJ45,"AAAAAH/962o=")</f>
        <v>#VALUE!</v>
      </c>
      <c r="DD12" t="e">
        <f>AND(Sheet1!BK45,"AAAAAH/962s=")</f>
        <v>#VALUE!</v>
      </c>
      <c r="DE12" t="e">
        <f>AND(Sheet1!BL45,"AAAAAH/962w=")</f>
        <v>#VALUE!</v>
      </c>
      <c r="DF12">
        <f>IF(Sheet1!46:46,"AAAAAH/9620=",0)</f>
        <v>0</v>
      </c>
      <c r="DG12" t="e">
        <f>AND(Sheet1!A46,"AAAAAH/9624=")</f>
        <v>#VALUE!</v>
      </c>
      <c r="DH12" t="e">
        <f>AND(Sheet1!B46,"AAAAAH/9628=")</f>
        <v>#VALUE!</v>
      </c>
      <c r="DI12" t="e">
        <f>AND(Sheet1!C46,"AAAAAH/963A=")</f>
        <v>#VALUE!</v>
      </c>
      <c r="DJ12" t="e">
        <f>AND(Sheet1!D46,"AAAAAH/963E=")</f>
        <v>#VALUE!</v>
      </c>
      <c r="DK12" t="e">
        <f>AND(Sheet1!E46,"AAAAAH/963I=")</f>
        <v>#VALUE!</v>
      </c>
      <c r="DL12" t="e">
        <f>AND(Sheet1!F46,"AAAAAH/963M=")</f>
        <v>#VALUE!</v>
      </c>
      <c r="DM12" t="e">
        <f>AND(Sheet1!G46,"AAAAAH/963Q=")</f>
        <v>#VALUE!</v>
      </c>
      <c r="DN12" t="e">
        <f>AND(Sheet1!H46,"AAAAAH/963U=")</f>
        <v>#VALUE!</v>
      </c>
      <c r="DO12" t="e">
        <f>AND(Sheet1!I46,"AAAAAH/963Y=")</f>
        <v>#VALUE!</v>
      </c>
      <c r="DP12" t="e">
        <f>AND(Sheet1!J46,"AAAAAH/963c=")</f>
        <v>#VALUE!</v>
      </c>
      <c r="DQ12" t="e">
        <f>AND(Sheet1!K46,"AAAAAH/963g=")</f>
        <v>#VALUE!</v>
      </c>
      <c r="DR12" t="e">
        <f>AND(Sheet1!L46,"AAAAAH/963k=")</f>
        <v>#VALUE!</v>
      </c>
      <c r="DS12" t="e">
        <f>AND(Sheet1!M46,"AAAAAH/963o=")</f>
        <v>#VALUE!</v>
      </c>
      <c r="DT12" t="e">
        <f>AND(Sheet1!N46,"AAAAAH/963s=")</f>
        <v>#VALUE!</v>
      </c>
      <c r="DU12" t="e">
        <f>AND(Sheet1!O46,"AAAAAH/963w=")</f>
        <v>#VALUE!</v>
      </c>
      <c r="DV12" t="e">
        <f>AND(Sheet1!P46,"AAAAAH/9630=")</f>
        <v>#VALUE!</v>
      </c>
      <c r="DW12" t="e">
        <f>AND(Sheet1!Q46,"AAAAAH/9634=")</f>
        <v>#VALUE!</v>
      </c>
      <c r="DX12" t="e">
        <f>AND(Sheet1!R46,"AAAAAH/9638=")</f>
        <v>#VALUE!</v>
      </c>
      <c r="DY12" t="e">
        <f>AND(Sheet1!S46,"AAAAAH/964A=")</f>
        <v>#VALUE!</v>
      </c>
      <c r="DZ12" t="e">
        <f>AND(Sheet1!T46,"AAAAAH/964E=")</f>
        <v>#VALUE!</v>
      </c>
      <c r="EA12" t="e">
        <f>AND(Sheet1!U46,"AAAAAH/964I=")</f>
        <v>#VALUE!</v>
      </c>
      <c r="EB12" t="e">
        <f>AND(Sheet1!V46,"AAAAAH/964M=")</f>
        <v>#VALUE!</v>
      </c>
      <c r="EC12" t="e">
        <f>AND(Sheet1!W46,"AAAAAH/964Q=")</f>
        <v>#VALUE!</v>
      </c>
      <c r="ED12" t="e">
        <f>AND(Sheet1!X46,"AAAAAH/964U=")</f>
        <v>#VALUE!</v>
      </c>
      <c r="EE12" t="e">
        <f>AND(Sheet1!Y46,"AAAAAH/964Y=")</f>
        <v>#VALUE!</v>
      </c>
      <c r="EF12" t="e">
        <f>AND(Sheet1!Z46,"AAAAAH/964c=")</f>
        <v>#VALUE!</v>
      </c>
      <c r="EG12" t="e">
        <f>AND(Sheet1!AA46,"AAAAAH/964g=")</f>
        <v>#VALUE!</v>
      </c>
      <c r="EH12" t="e">
        <f>AND(Sheet1!AB46,"AAAAAH/964k=")</f>
        <v>#VALUE!</v>
      </c>
      <c r="EI12" t="e">
        <f>AND(Sheet1!AC46,"AAAAAH/964o=")</f>
        <v>#VALUE!</v>
      </c>
      <c r="EJ12" t="e">
        <f>AND(Sheet1!AD46,"AAAAAH/964s=")</f>
        <v>#VALUE!</v>
      </c>
      <c r="EK12" t="e">
        <f>AND(Sheet1!AE46,"AAAAAH/964w=")</f>
        <v>#VALUE!</v>
      </c>
      <c r="EL12" t="e">
        <f>AND(Sheet1!AF46,"AAAAAH/9640=")</f>
        <v>#VALUE!</v>
      </c>
      <c r="EM12" t="e">
        <f>AND(Sheet1!AG46,"AAAAAH/9644=")</f>
        <v>#VALUE!</v>
      </c>
      <c r="EN12" t="e">
        <f>AND(Sheet1!AH46,"AAAAAH/9648=")</f>
        <v>#VALUE!</v>
      </c>
      <c r="EO12" t="e">
        <f>AND(Sheet1!AI46,"AAAAAH/965A=")</f>
        <v>#VALUE!</v>
      </c>
      <c r="EP12" t="e">
        <f>AND(Sheet1!AJ46,"AAAAAH/965E=")</f>
        <v>#VALUE!</v>
      </c>
      <c r="EQ12" t="e">
        <f>AND(Sheet1!AK46,"AAAAAH/965I=")</f>
        <v>#VALUE!</v>
      </c>
      <c r="ER12" t="e">
        <f>AND(Sheet1!AL46,"AAAAAH/965M=")</f>
        <v>#VALUE!</v>
      </c>
      <c r="ES12" t="e">
        <f>AND(Sheet1!AM46,"AAAAAH/965Q=")</f>
        <v>#VALUE!</v>
      </c>
      <c r="ET12" t="e">
        <f>AND(Sheet1!AN46,"AAAAAH/965U=")</f>
        <v>#VALUE!</v>
      </c>
      <c r="EU12" t="e">
        <f>AND(Sheet1!AO46,"AAAAAH/965Y=")</f>
        <v>#VALUE!</v>
      </c>
      <c r="EV12" t="e">
        <f>AND(Sheet1!AP46,"AAAAAH/965c=")</f>
        <v>#VALUE!</v>
      </c>
      <c r="EW12" t="e">
        <f>AND(Sheet1!AQ46,"AAAAAH/965g=")</f>
        <v>#VALUE!</v>
      </c>
      <c r="EX12" t="e">
        <f>AND(Sheet1!AR46,"AAAAAH/965k=")</f>
        <v>#VALUE!</v>
      </c>
      <c r="EY12" t="e">
        <f>AND(Sheet1!AS46,"AAAAAH/965o=")</f>
        <v>#VALUE!</v>
      </c>
      <c r="EZ12" t="e">
        <f>AND(Sheet1!AT46,"AAAAAH/965s=")</f>
        <v>#VALUE!</v>
      </c>
      <c r="FA12" t="e">
        <f>AND(Sheet1!AU46,"AAAAAH/965w=")</f>
        <v>#VALUE!</v>
      </c>
      <c r="FB12" t="e">
        <f>AND(Sheet1!AV46,"AAAAAH/9650=")</f>
        <v>#VALUE!</v>
      </c>
      <c r="FC12" t="e">
        <f>AND(Sheet1!AW46,"AAAAAH/9654=")</f>
        <v>#VALUE!</v>
      </c>
      <c r="FD12" t="e">
        <f>AND(Sheet1!AX46,"AAAAAH/9658=")</f>
        <v>#VALUE!</v>
      </c>
      <c r="FE12" t="e">
        <f>AND(Sheet1!AY46,"AAAAAH/966A=")</f>
        <v>#VALUE!</v>
      </c>
      <c r="FF12" t="e">
        <f>AND(Sheet1!AZ46,"AAAAAH/966E=")</f>
        <v>#VALUE!</v>
      </c>
      <c r="FG12" t="e">
        <f>AND(Sheet1!BA46,"AAAAAH/966I=")</f>
        <v>#VALUE!</v>
      </c>
      <c r="FH12" t="e">
        <f>AND(Sheet1!BB46,"AAAAAH/966M=")</f>
        <v>#VALUE!</v>
      </c>
      <c r="FI12" t="e">
        <f>AND(Sheet1!BC46,"AAAAAH/966Q=")</f>
        <v>#VALUE!</v>
      </c>
      <c r="FJ12" t="e">
        <f>AND(Sheet1!BD46,"AAAAAH/966U=")</f>
        <v>#VALUE!</v>
      </c>
      <c r="FK12" t="e">
        <f>AND(Sheet1!BE46,"AAAAAH/966Y=")</f>
        <v>#VALUE!</v>
      </c>
      <c r="FL12" t="e">
        <f>AND(Sheet1!BF46,"AAAAAH/966c=")</f>
        <v>#VALUE!</v>
      </c>
      <c r="FM12" t="e">
        <f>AND(Sheet1!BG46,"AAAAAH/966g=")</f>
        <v>#VALUE!</v>
      </c>
      <c r="FN12" t="e">
        <f>AND(Sheet1!BH46,"AAAAAH/966k=")</f>
        <v>#VALUE!</v>
      </c>
      <c r="FO12" t="e">
        <f>AND(Sheet1!BI46,"AAAAAH/966o=")</f>
        <v>#VALUE!</v>
      </c>
      <c r="FP12" t="e">
        <f>AND(Sheet1!BJ46,"AAAAAH/966s=")</f>
        <v>#VALUE!</v>
      </c>
      <c r="FQ12" t="e">
        <f>AND(Sheet1!BK46,"AAAAAH/966w=")</f>
        <v>#VALUE!</v>
      </c>
      <c r="FR12" t="e">
        <f>AND(Sheet1!BL46,"AAAAAH/9660=")</f>
        <v>#VALUE!</v>
      </c>
      <c r="FS12">
        <f>IF(Sheet1!47:47,"AAAAAH/9664=",0)</f>
        <v>0</v>
      </c>
      <c r="FT12" t="e">
        <f>AND(Sheet1!A47,"AAAAAH/9668=")</f>
        <v>#VALUE!</v>
      </c>
      <c r="FU12" t="e">
        <f>AND(Sheet1!B47,"AAAAAH/967A=")</f>
        <v>#VALUE!</v>
      </c>
      <c r="FV12" t="e">
        <f>AND(Sheet1!C47,"AAAAAH/967E=")</f>
        <v>#VALUE!</v>
      </c>
      <c r="FW12" t="e">
        <f>AND(Sheet1!D47,"AAAAAH/967I=")</f>
        <v>#VALUE!</v>
      </c>
      <c r="FX12" t="e">
        <f>AND(Sheet1!E47,"AAAAAH/967M=")</f>
        <v>#VALUE!</v>
      </c>
      <c r="FY12" t="e">
        <f>AND(Sheet1!F47,"AAAAAH/967Q=")</f>
        <v>#VALUE!</v>
      </c>
      <c r="FZ12" t="e">
        <f>AND(Sheet1!G47,"AAAAAH/967U=")</f>
        <v>#VALUE!</v>
      </c>
      <c r="GA12" t="e">
        <f>AND(Sheet1!H47,"AAAAAH/967Y=")</f>
        <v>#VALUE!</v>
      </c>
      <c r="GB12" t="e">
        <f>AND(Sheet1!I47,"AAAAAH/967c=")</f>
        <v>#VALUE!</v>
      </c>
      <c r="GC12" t="e">
        <f>AND(Sheet1!J47,"AAAAAH/967g=")</f>
        <v>#VALUE!</v>
      </c>
      <c r="GD12" t="e">
        <f>AND(Sheet1!K47,"AAAAAH/967k=")</f>
        <v>#VALUE!</v>
      </c>
      <c r="GE12" t="e">
        <f>AND(Sheet1!L47,"AAAAAH/967o=")</f>
        <v>#VALUE!</v>
      </c>
      <c r="GF12" t="e">
        <f>AND(Sheet1!M47,"AAAAAH/967s=")</f>
        <v>#VALUE!</v>
      </c>
      <c r="GG12" t="e">
        <f>AND(Sheet1!N47,"AAAAAH/967w=")</f>
        <v>#VALUE!</v>
      </c>
      <c r="GH12" t="e">
        <f>AND(Sheet1!O47,"AAAAAH/9670=")</f>
        <v>#VALUE!</v>
      </c>
      <c r="GI12" t="e">
        <f>AND(Sheet1!P47,"AAAAAH/9674=")</f>
        <v>#VALUE!</v>
      </c>
      <c r="GJ12" t="e">
        <f>AND(Sheet1!Q47,"AAAAAH/9678=")</f>
        <v>#VALUE!</v>
      </c>
      <c r="GK12" t="e">
        <f>AND(Sheet1!R47,"AAAAAH/968A=")</f>
        <v>#VALUE!</v>
      </c>
      <c r="GL12" t="e">
        <f>AND(Sheet1!S47,"AAAAAH/968E=")</f>
        <v>#VALUE!</v>
      </c>
      <c r="GM12" t="e">
        <f>AND(Sheet1!T47,"AAAAAH/968I=")</f>
        <v>#VALUE!</v>
      </c>
      <c r="GN12" t="e">
        <f>AND(Sheet1!U47,"AAAAAH/968M=")</f>
        <v>#VALUE!</v>
      </c>
      <c r="GO12" t="e">
        <f>AND(Sheet1!V47,"AAAAAH/968Q=")</f>
        <v>#VALUE!</v>
      </c>
      <c r="GP12" t="e">
        <f>AND(Sheet1!W47,"AAAAAH/968U=")</f>
        <v>#VALUE!</v>
      </c>
      <c r="GQ12" t="e">
        <f>AND(Sheet1!X47,"AAAAAH/968Y=")</f>
        <v>#VALUE!</v>
      </c>
      <c r="GR12" t="e">
        <f>AND(Sheet1!Y47,"AAAAAH/968c=")</f>
        <v>#VALUE!</v>
      </c>
      <c r="GS12" t="e">
        <f>AND(Sheet1!Z47,"AAAAAH/968g=")</f>
        <v>#VALUE!</v>
      </c>
      <c r="GT12" t="e">
        <f>AND(Sheet1!AA47,"AAAAAH/968k=")</f>
        <v>#VALUE!</v>
      </c>
      <c r="GU12" t="e">
        <f>AND(Sheet1!AB47,"AAAAAH/968o=")</f>
        <v>#VALUE!</v>
      </c>
      <c r="GV12" t="e">
        <f>AND(Sheet1!AC47,"AAAAAH/968s=")</f>
        <v>#VALUE!</v>
      </c>
      <c r="GW12" t="e">
        <f>AND(Sheet1!AD47,"AAAAAH/968w=")</f>
        <v>#VALUE!</v>
      </c>
      <c r="GX12" t="e">
        <f>AND(Sheet1!AE47,"AAAAAH/9680=")</f>
        <v>#VALUE!</v>
      </c>
      <c r="GY12" t="e">
        <f>AND(Sheet1!AF47,"AAAAAH/9684=")</f>
        <v>#VALUE!</v>
      </c>
      <c r="GZ12" t="e">
        <f>AND(Sheet1!AG47,"AAAAAH/9688=")</f>
        <v>#VALUE!</v>
      </c>
      <c r="HA12" t="e">
        <f>AND(Sheet1!AH47,"AAAAAH/969A=")</f>
        <v>#VALUE!</v>
      </c>
      <c r="HB12" t="e">
        <f>AND(Sheet1!AI47,"AAAAAH/969E=")</f>
        <v>#VALUE!</v>
      </c>
      <c r="HC12" t="e">
        <f>AND(Sheet1!AJ47,"AAAAAH/969I=")</f>
        <v>#VALUE!</v>
      </c>
      <c r="HD12" t="e">
        <f>AND(Sheet1!AK47,"AAAAAH/969M=")</f>
        <v>#VALUE!</v>
      </c>
      <c r="HE12" t="e">
        <f>AND(Sheet1!AL47,"AAAAAH/969Q=")</f>
        <v>#VALUE!</v>
      </c>
      <c r="HF12" t="e">
        <f>AND(Sheet1!AM47,"AAAAAH/969U=")</f>
        <v>#VALUE!</v>
      </c>
      <c r="HG12" t="e">
        <f>AND(Sheet1!AN47,"AAAAAH/969Y=")</f>
        <v>#VALUE!</v>
      </c>
      <c r="HH12" t="e">
        <f>AND(Sheet1!AO47,"AAAAAH/969c=")</f>
        <v>#VALUE!</v>
      </c>
      <c r="HI12" t="e">
        <f>AND(Sheet1!AP47,"AAAAAH/969g=")</f>
        <v>#VALUE!</v>
      </c>
      <c r="HJ12" t="e">
        <f>AND(Sheet1!AQ47,"AAAAAH/969k=")</f>
        <v>#VALUE!</v>
      </c>
      <c r="HK12" t="e">
        <f>AND(Sheet1!AR47,"AAAAAH/969o=")</f>
        <v>#VALUE!</v>
      </c>
      <c r="HL12" t="e">
        <f>AND(Sheet1!AS47,"AAAAAH/969s=")</f>
        <v>#VALUE!</v>
      </c>
      <c r="HM12" t="e">
        <f>AND(Sheet1!AT47,"AAAAAH/969w=")</f>
        <v>#VALUE!</v>
      </c>
      <c r="HN12" t="e">
        <f>AND(Sheet1!AU47,"AAAAAH/9690=")</f>
        <v>#VALUE!</v>
      </c>
      <c r="HO12" t="e">
        <f>AND(Sheet1!AV47,"AAAAAH/9694=")</f>
        <v>#VALUE!</v>
      </c>
      <c r="HP12" t="e">
        <f>AND(Sheet1!AW47,"AAAAAH/9698=")</f>
        <v>#VALUE!</v>
      </c>
      <c r="HQ12" t="e">
        <f>AND(Sheet1!AX47,"AAAAAH/96+A=")</f>
        <v>#VALUE!</v>
      </c>
      <c r="HR12" t="e">
        <f>AND(Sheet1!AY47,"AAAAAH/96+E=")</f>
        <v>#VALUE!</v>
      </c>
      <c r="HS12" t="e">
        <f>AND(Sheet1!AZ47,"AAAAAH/96+I=")</f>
        <v>#VALUE!</v>
      </c>
      <c r="HT12" t="e">
        <f>AND(Sheet1!BA47,"AAAAAH/96+M=")</f>
        <v>#VALUE!</v>
      </c>
      <c r="HU12" t="e">
        <f>AND(Sheet1!BB47,"AAAAAH/96+Q=")</f>
        <v>#VALUE!</v>
      </c>
      <c r="HV12" t="e">
        <f>AND(Sheet1!BC47,"AAAAAH/96+U=")</f>
        <v>#VALUE!</v>
      </c>
      <c r="HW12" t="e">
        <f>AND(Sheet1!BD47,"AAAAAH/96+Y=")</f>
        <v>#VALUE!</v>
      </c>
      <c r="HX12" t="e">
        <f>AND(Sheet1!BE47,"AAAAAH/96+c=")</f>
        <v>#VALUE!</v>
      </c>
      <c r="HY12" t="e">
        <f>AND(Sheet1!BF47,"AAAAAH/96+g=")</f>
        <v>#VALUE!</v>
      </c>
      <c r="HZ12" t="e">
        <f>AND(Sheet1!BG47,"AAAAAH/96+k=")</f>
        <v>#VALUE!</v>
      </c>
      <c r="IA12" t="e">
        <f>AND(Sheet1!BH47,"AAAAAH/96+o=")</f>
        <v>#VALUE!</v>
      </c>
      <c r="IB12" t="e">
        <f>AND(Sheet1!BI47,"AAAAAH/96+s=")</f>
        <v>#VALUE!</v>
      </c>
      <c r="IC12" t="e">
        <f>AND(Sheet1!BJ47,"AAAAAH/96+w=")</f>
        <v>#VALUE!</v>
      </c>
      <c r="ID12" t="e">
        <f>AND(Sheet1!BK47,"AAAAAH/96+0=")</f>
        <v>#VALUE!</v>
      </c>
      <c r="IE12" t="e">
        <f>AND(Sheet1!BL47,"AAAAAH/96+4=")</f>
        <v>#VALUE!</v>
      </c>
      <c r="IF12">
        <f>IF(Sheet1!48:48,"AAAAAH/96+8=",0)</f>
        <v>0</v>
      </c>
      <c r="IG12" t="e">
        <f>AND(Sheet1!A48,"AAAAAH/96/A=")</f>
        <v>#VALUE!</v>
      </c>
      <c r="IH12" t="e">
        <f>AND(Sheet1!B48,"AAAAAH/96/E=")</f>
        <v>#VALUE!</v>
      </c>
      <c r="II12" t="e">
        <f>AND(Sheet1!C48,"AAAAAH/96/I=")</f>
        <v>#VALUE!</v>
      </c>
      <c r="IJ12" t="e">
        <f>AND(Sheet1!D48,"AAAAAH/96/M=")</f>
        <v>#VALUE!</v>
      </c>
      <c r="IK12" t="e">
        <f>AND(Sheet1!E48,"AAAAAH/96/Q=")</f>
        <v>#VALUE!</v>
      </c>
      <c r="IL12" t="e">
        <f>AND(Sheet1!F48,"AAAAAH/96/U=")</f>
        <v>#VALUE!</v>
      </c>
      <c r="IM12" t="e">
        <f>AND(Sheet1!G48,"AAAAAH/96/Y=")</f>
        <v>#VALUE!</v>
      </c>
      <c r="IN12" t="e">
        <f>AND(Sheet1!H48,"AAAAAH/96/c=")</f>
        <v>#VALUE!</v>
      </c>
      <c r="IO12" t="e">
        <f>AND(Sheet1!I48,"AAAAAH/96/g=")</f>
        <v>#VALUE!</v>
      </c>
      <c r="IP12" t="e">
        <f>AND(Sheet1!J48,"AAAAAH/96/k=")</f>
        <v>#VALUE!</v>
      </c>
      <c r="IQ12" t="e">
        <f>AND(Sheet1!K48,"AAAAAH/96/o=")</f>
        <v>#VALUE!</v>
      </c>
      <c r="IR12" t="e">
        <f>AND(Sheet1!L48,"AAAAAH/96/s=")</f>
        <v>#VALUE!</v>
      </c>
      <c r="IS12" t="e">
        <f>AND(Sheet1!M48,"AAAAAH/96/w=")</f>
        <v>#VALUE!</v>
      </c>
      <c r="IT12" t="e">
        <f>AND(Sheet1!N48,"AAAAAH/96/0=")</f>
        <v>#VALUE!</v>
      </c>
      <c r="IU12" t="e">
        <f>AND(Sheet1!O48,"AAAAAH/96/4=")</f>
        <v>#VALUE!</v>
      </c>
      <c r="IV12" t="e">
        <f>AND(Sheet1!P48,"AAAAAH/96/8=")</f>
        <v>#VALUE!</v>
      </c>
    </row>
    <row r="13" spans="1:256" ht="12.75">
      <c r="A13" t="e">
        <f>AND(Sheet1!Q48,"AAAAAHyv7wA=")</f>
        <v>#VALUE!</v>
      </c>
      <c r="B13" t="e">
        <f>AND(Sheet1!R48,"AAAAAHyv7wE=")</f>
        <v>#VALUE!</v>
      </c>
      <c r="C13" t="e">
        <f>AND(Sheet1!S48,"AAAAAHyv7wI=")</f>
        <v>#VALUE!</v>
      </c>
      <c r="D13" t="e">
        <f>AND(Sheet1!T48,"AAAAAHyv7wM=")</f>
        <v>#VALUE!</v>
      </c>
      <c r="E13" t="e">
        <f>AND(Sheet1!U48,"AAAAAHyv7wQ=")</f>
        <v>#VALUE!</v>
      </c>
      <c r="F13" t="e">
        <f>AND(Sheet1!V48,"AAAAAHyv7wU=")</f>
        <v>#VALUE!</v>
      </c>
      <c r="G13" t="e">
        <f>AND(Sheet1!W48,"AAAAAHyv7wY=")</f>
        <v>#VALUE!</v>
      </c>
      <c r="H13" t="e">
        <f>AND(Sheet1!X48,"AAAAAHyv7wc=")</f>
        <v>#VALUE!</v>
      </c>
      <c r="I13" t="e">
        <f>AND(Sheet1!Y48,"AAAAAHyv7wg=")</f>
        <v>#VALUE!</v>
      </c>
      <c r="J13" t="e">
        <f>AND(Sheet1!Z48,"AAAAAHyv7wk=")</f>
        <v>#VALUE!</v>
      </c>
      <c r="K13" t="e">
        <f>AND(Sheet1!AA48,"AAAAAHyv7wo=")</f>
        <v>#VALUE!</v>
      </c>
      <c r="L13" t="e">
        <f>AND(Sheet1!AB48,"AAAAAHyv7ws=")</f>
        <v>#VALUE!</v>
      </c>
      <c r="M13" t="e">
        <f>AND(Sheet1!AC48,"AAAAAHyv7ww=")</f>
        <v>#VALUE!</v>
      </c>
      <c r="N13" t="e">
        <f>AND(Sheet1!AD48,"AAAAAHyv7w0=")</f>
        <v>#VALUE!</v>
      </c>
      <c r="O13" t="e">
        <f>AND(Sheet1!AE48,"AAAAAHyv7w4=")</f>
        <v>#VALUE!</v>
      </c>
      <c r="P13" t="e">
        <f>AND(Sheet1!AF48,"AAAAAHyv7w8=")</f>
        <v>#VALUE!</v>
      </c>
      <c r="Q13" t="e">
        <f>AND(Sheet1!AG48,"AAAAAHyv7xA=")</f>
        <v>#VALUE!</v>
      </c>
      <c r="R13" t="e">
        <f>AND(Sheet1!AH48,"AAAAAHyv7xE=")</f>
        <v>#VALUE!</v>
      </c>
      <c r="S13" t="e">
        <f>AND(Sheet1!AI48,"AAAAAHyv7xI=")</f>
        <v>#VALUE!</v>
      </c>
      <c r="T13" t="e">
        <f>AND(Sheet1!AJ48,"AAAAAHyv7xM=")</f>
        <v>#VALUE!</v>
      </c>
      <c r="U13" t="e">
        <f>AND(Sheet1!AK48,"AAAAAHyv7xQ=")</f>
        <v>#VALUE!</v>
      </c>
      <c r="V13" t="e">
        <f>AND(Sheet1!AL48,"AAAAAHyv7xU=")</f>
        <v>#VALUE!</v>
      </c>
      <c r="W13" t="e">
        <f>AND(Sheet1!AM48,"AAAAAHyv7xY=")</f>
        <v>#VALUE!</v>
      </c>
      <c r="X13" t="e">
        <f>AND(Sheet1!AN48,"AAAAAHyv7xc=")</f>
        <v>#VALUE!</v>
      </c>
      <c r="Y13" t="e">
        <f>AND(Sheet1!AO48,"AAAAAHyv7xg=")</f>
        <v>#VALUE!</v>
      </c>
      <c r="Z13" t="e">
        <f>AND(Sheet1!AP48,"AAAAAHyv7xk=")</f>
        <v>#VALUE!</v>
      </c>
      <c r="AA13" t="e">
        <f>AND(Sheet1!AQ48,"AAAAAHyv7xo=")</f>
        <v>#VALUE!</v>
      </c>
      <c r="AB13" t="e">
        <f>AND(Sheet1!AR48,"AAAAAHyv7xs=")</f>
        <v>#VALUE!</v>
      </c>
      <c r="AC13" t="e">
        <f>AND(Sheet1!AS48,"AAAAAHyv7xw=")</f>
        <v>#VALUE!</v>
      </c>
      <c r="AD13" t="e">
        <f>AND(Sheet1!AT48,"AAAAAHyv7x0=")</f>
        <v>#VALUE!</v>
      </c>
      <c r="AE13" t="e">
        <f>AND(Sheet1!AU48,"AAAAAHyv7x4=")</f>
        <v>#VALUE!</v>
      </c>
      <c r="AF13" t="e">
        <f>AND(Sheet1!AV48,"AAAAAHyv7x8=")</f>
        <v>#VALUE!</v>
      </c>
      <c r="AG13" t="e">
        <f>AND(Sheet1!AW48,"AAAAAHyv7yA=")</f>
        <v>#VALUE!</v>
      </c>
      <c r="AH13" t="e">
        <f>AND(Sheet1!AX48,"AAAAAHyv7yE=")</f>
        <v>#VALUE!</v>
      </c>
      <c r="AI13" t="e">
        <f>AND(Sheet1!AY48,"AAAAAHyv7yI=")</f>
        <v>#VALUE!</v>
      </c>
      <c r="AJ13" t="e">
        <f>AND(Sheet1!AZ48,"AAAAAHyv7yM=")</f>
        <v>#VALUE!</v>
      </c>
      <c r="AK13" t="e">
        <f>AND(Sheet1!BA48,"AAAAAHyv7yQ=")</f>
        <v>#VALUE!</v>
      </c>
      <c r="AL13" t="e">
        <f>AND(Sheet1!BB48,"AAAAAHyv7yU=")</f>
        <v>#VALUE!</v>
      </c>
      <c r="AM13" t="e">
        <f>AND(Sheet1!BC48,"AAAAAHyv7yY=")</f>
        <v>#VALUE!</v>
      </c>
      <c r="AN13" t="e">
        <f>AND(Sheet1!BD48,"AAAAAHyv7yc=")</f>
        <v>#VALUE!</v>
      </c>
      <c r="AO13" t="e">
        <f>AND(Sheet1!BE48,"AAAAAHyv7yg=")</f>
        <v>#VALUE!</v>
      </c>
      <c r="AP13" t="e">
        <f>AND(Sheet1!BF48,"AAAAAHyv7yk=")</f>
        <v>#VALUE!</v>
      </c>
      <c r="AQ13" t="e">
        <f>AND(Sheet1!BG48,"AAAAAHyv7yo=")</f>
        <v>#VALUE!</v>
      </c>
      <c r="AR13" t="e">
        <f>AND(Sheet1!BH48,"AAAAAHyv7ys=")</f>
        <v>#VALUE!</v>
      </c>
      <c r="AS13" t="e">
        <f>AND(Sheet1!BI48,"AAAAAHyv7yw=")</f>
        <v>#VALUE!</v>
      </c>
      <c r="AT13" t="e">
        <f>AND(Sheet1!BJ48,"AAAAAHyv7y0=")</f>
        <v>#VALUE!</v>
      </c>
      <c r="AU13" t="e">
        <f>AND(Sheet1!BK48,"AAAAAHyv7y4=")</f>
        <v>#VALUE!</v>
      </c>
      <c r="AV13" t="e">
        <f>AND(Sheet1!BL48,"AAAAAHyv7y8=")</f>
        <v>#VALUE!</v>
      </c>
      <c r="AW13">
        <f>IF(Sheet1!49:49,"AAAAAHyv7zA=",0)</f>
        <v>0</v>
      </c>
      <c r="AX13" t="e">
        <f>AND(Sheet1!A49,"AAAAAHyv7zE=")</f>
        <v>#VALUE!</v>
      </c>
      <c r="AY13" t="e">
        <f>AND(Sheet1!B49,"AAAAAHyv7zI=")</f>
        <v>#VALUE!</v>
      </c>
      <c r="AZ13" t="e">
        <f>AND(Sheet1!C49,"AAAAAHyv7zM=")</f>
        <v>#VALUE!</v>
      </c>
      <c r="BA13" t="e">
        <f>AND(Sheet1!D49,"AAAAAHyv7zQ=")</f>
        <v>#VALUE!</v>
      </c>
      <c r="BB13" t="e">
        <f>AND(Sheet1!E49,"AAAAAHyv7zU=")</f>
        <v>#VALUE!</v>
      </c>
      <c r="BC13" t="e">
        <f>AND(Sheet1!F49,"AAAAAHyv7zY=")</f>
        <v>#VALUE!</v>
      </c>
      <c r="BD13" t="e">
        <f>AND(Sheet1!G49,"AAAAAHyv7zc=")</f>
        <v>#VALUE!</v>
      </c>
      <c r="BE13" t="e">
        <f>AND(Sheet1!H49,"AAAAAHyv7zg=")</f>
        <v>#VALUE!</v>
      </c>
      <c r="BF13" t="e">
        <f>AND(Sheet1!I49,"AAAAAHyv7zk=")</f>
        <v>#VALUE!</v>
      </c>
      <c r="BG13" t="e">
        <f>AND(Sheet1!J49,"AAAAAHyv7zo=")</f>
        <v>#VALUE!</v>
      </c>
      <c r="BH13" t="e">
        <f>AND(Sheet1!K49,"AAAAAHyv7zs=")</f>
        <v>#VALUE!</v>
      </c>
      <c r="BI13" t="e">
        <f>AND(Sheet1!L49,"AAAAAHyv7zw=")</f>
        <v>#VALUE!</v>
      </c>
      <c r="BJ13" t="e">
        <f>AND(Sheet1!M49,"AAAAAHyv7z0=")</f>
        <v>#VALUE!</v>
      </c>
      <c r="BK13" t="e">
        <f>AND(Sheet1!N49,"AAAAAHyv7z4=")</f>
        <v>#VALUE!</v>
      </c>
      <c r="BL13" t="e">
        <f>AND(Sheet1!O49,"AAAAAHyv7z8=")</f>
        <v>#VALUE!</v>
      </c>
      <c r="BM13" t="e">
        <f>AND(Sheet1!P49,"AAAAAHyv70A=")</f>
        <v>#VALUE!</v>
      </c>
      <c r="BN13" t="e">
        <f>AND(Sheet1!Q49,"AAAAAHyv70E=")</f>
        <v>#VALUE!</v>
      </c>
      <c r="BO13" t="e">
        <f>AND(Sheet1!R49,"AAAAAHyv70I=")</f>
        <v>#VALUE!</v>
      </c>
      <c r="BP13" t="e">
        <f>AND(Sheet1!S49,"AAAAAHyv70M=")</f>
        <v>#VALUE!</v>
      </c>
      <c r="BQ13" t="e">
        <f>AND(Sheet1!T49,"AAAAAHyv70Q=")</f>
        <v>#VALUE!</v>
      </c>
      <c r="BR13" t="e">
        <f>AND(Sheet1!U49,"AAAAAHyv70U=")</f>
        <v>#VALUE!</v>
      </c>
      <c r="BS13" t="e">
        <f>AND(Sheet1!V49,"AAAAAHyv70Y=")</f>
        <v>#VALUE!</v>
      </c>
      <c r="BT13" t="e">
        <f>AND(Sheet1!W49,"AAAAAHyv70c=")</f>
        <v>#VALUE!</v>
      </c>
      <c r="BU13" t="e">
        <f>AND(Sheet1!X49,"AAAAAHyv70g=")</f>
        <v>#VALUE!</v>
      </c>
      <c r="BV13" t="e">
        <f>AND(Sheet1!Y49,"AAAAAHyv70k=")</f>
        <v>#VALUE!</v>
      </c>
      <c r="BW13" t="e">
        <f>AND(Sheet1!Z49,"AAAAAHyv70o=")</f>
        <v>#VALUE!</v>
      </c>
      <c r="BX13" t="e">
        <f>AND(Sheet1!AA49,"AAAAAHyv70s=")</f>
        <v>#VALUE!</v>
      </c>
      <c r="BY13" t="e">
        <f>AND(Sheet1!AB49,"AAAAAHyv70w=")</f>
        <v>#VALUE!</v>
      </c>
      <c r="BZ13" t="e">
        <f>AND(Sheet1!AC49,"AAAAAHyv700=")</f>
        <v>#VALUE!</v>
      </c>
      <c r="CA13" t="e">
        <f>AND(Sheet1!AD49,"AAAAAHyv704=")</f>
        <v>#VALUE!</v>
      </c>
      <c r="CB13" t="e">
        <f>AND(Sheet1!AE49,"AAAAAHyv708=")</f>
        <v>#VALUE!</v>
      </c>
      <c r="CC13" t="e">
        <f>AND(Sheet1!AF49,"AAAAAHyv71A=")</f>
        <v>#VALUE!</v>
      </c>
      <c r="CD13" t="e">
        <f>AND(Sheet1!AG49,"AAAAAHyv71E=")</f>
        <v>#VALUE!</v>
      </c>
      <c r="CE13" t="e">
        <f>AND(Sheet1!AH49,"AAAAAHyv71I=")</f>
        <v>#VALUE!</v>
      </c>
      <c r="CF13" t="e">
        <f>AND(Sheet1!AI49,"AAAAAHyv71M=")</f>
        <v>#VALUE!</v>
      </c>
      <c r="CG13" t="e">
        <f>AND(Sheet1!AJ49,"AAAAAHyv71Q=")</f>
        <v>#VALUE!</v>
      </c>
      <c r="CH13" t="e">
        <f>AND(Sheet1!AK49,"AAAAAHyv71U=")</f>
        <v>#VALUE!</v>
      </c>
      <c r="CI13" t="e">
        <f>AND(Sheet1!AL49,"AAAAAHyv71Y=")</f>
        <v>#VALUE!</v>
      </c>
      <c r="CJ13" t="e">
        <f>AND(Sheet1!AM49,"AAAAAHyv71c=")</f>
        <v>#VALUE!</v>
      </c>
      <c r="CK13" t="e">
        <f>AND(Sheet1!AN49,"AAAAAHyv71g=")</f>
        <v>#VALUE!</v>
      </c>
      <c r="CL13" t="e">
        <f>AND(Sheet1!AO49,"AAAAAHyv71k=")</f>
        <v>#VALUE!</v>
      </c>
      <c r="CM13" t="e">
        <f>AND(Sheet1!AP49,"AAAAAHyv71o=")</f>
        <v>#VALUE!</v>
      </c>
      <c r="CN13" t="e">
        <f>AND(Sheet1!AQ49,"AAAAAHyv71s=")</f>
        <v>#VALUE!</v>
      </c>
      <c r="CO13" t="e">
        <f>AND(Sheet1!AR49,"AAAAAHyv71w=")</f>
        <v>#VALUE!</v>
      </c>
      <c r="CP13" t="e">
        <f>AND(Sheet1!AS49,"AAAAAHyv710=")</f>
        <v>#VALUE!</v>
      </c>
      <c r="CQ13" t="e">
        <f>AND(Sheet1!AT49,"AAAAAHyv714=")</f>
        <v>#VALUE!</v>
      </c>
      <c r="CR13" t="e">
        <f>AND(Sheet1!AU49,"AAAAAHyv718=")</f>
        <v>#VALUE!</v>
      </c>
      <c r="CS13" t="e">
        <f>AND(Sheet1!AV49,"AAAAAHyv72A=")</f>
        <v>#VALUE!</v>
      </c>
      <c r="CT13" t="e">
        <f>AND(Sheet1!AW49,"AAAAAHyv72E=")</f>
        <v>#VALUE!</v>
      </c>
      <c r="CU13" t="e">
        <f>AND(Sheet1!AX49,"AAAAAHyv72I=")</f>
        <v>#VALUE!</v>
      </c>
      <c r="CV13" t="e">
        <f>AND(Sheet1!AY49,"AAAAAHyv72M=")</f>
        <v>#VALUE!</v>
      </c>
      <c r="CW13" t="e">
        <f>AND(Sheet1!AZ49,"AAAAAHyv72Q=")</f>
        <v>#VALUE!</v>
      </c>
      <c r="CX13" t="e">
        <f>AND(Sheet1!BA49,"AAAAAHyv72U=")</f>
        <v>#VALUE!</v>
      </c>
      <c r="CY13" t="e">
        <f>AND(Sheet1!BB49,"AAAAAHyv72Y=")</f>
        <v>#VALUE!</v>
      </c>
      <c r="CZ13" t="e">
        <f>AND(Sheet1!BC49,"AAAAAHyv72c=")</f>
        <v>#VALUE!</v>
      </c>
      <c r="DA13" t="e">
        <f>AND(Sheet1!BD49,"AAAAAHyv72g=")</f>
        <v>#VALUE!</v>
      </c>
      <c r="DB13" t="e">
        <f>AND(Sheet1!BE49,"AAAAAHyv72k=")</f>
        <v>#VALUE!</v>
      </c>
      <c r="DC13" t="e">
        <f>AND(Sheet1!BF49,"AAAAAHyv72o=")</f>
        <v>#VALUE!</v>
      </c>
      <c r="DD13" t="e">
        <f>AND(Sheet1!BG49,"AAAAAHyv72s=")</f>
        <v>#VALUE!</v>
      </c>
      <c r="DE13" t="e">
        <f>AND(Sheet1!BH49,"AAAAAHyv72w=")</f>
        <v>#VALUE!</v>
      </c>
      <c r="DF13" t="e">
        <f>AND(Sheet1!BI49,"AAAAAHyv720=")</f>
        <v>#VALUE!</v>
      </c>
      <c r="DG13" t="e">
        <f>AND(Sheet1!BJ49,"AAAAAHyv724=")</f>
        <v>#VALUE!</v>
      </c>
      <c r="DH13" t="e">
        <f>AND(Sheet1!BK49,"AAAAAHyv728=")</f>
        <v>#VALUE!</v>
      </c>
      <c r="DI13" t="e">
        <f>AND(Sheet1!BL49,"AAAAAHyv73A=")</f>
        <v>#VALUE!</v>
      </c>
      <c r="DJ13">
        <f>IF(Sheet1!50:50,"AAAAAHyv73E=",0)</f>
        <v>0</v>
      </c>
      <c r="DK13" t="e">
        <f>AND(Sheet1!A50,"AAAAAHyv73I=")</f>
        <v>#VALUE!</v>
      </c>
      <c r="DL13" t="e">
        <f>AND(Sheet1!B50,"AAAAAHyv73M=")</f>
        <v>#VALUE!</v>
      </c>
      <c r="DM13" t="e">
        <f>AND(Sheet1!C50,"AAAAAHyv73Q=")</f>
        <v>#VALUE!</v>
      </c>
      <c r="DN13" t="e">
        <f>AND(Sheet1!D50,"AAAAAHyv73U=")</f>
        <v>#VALUE!</v>
      </c>
      <c r="DO13" t="e">
        <f>AND(Sheet1!E50,"AAAAAHyv73Y=")</f>
        <v>#VALUE!</v>
      </c>
      <c r="DP13" t="e">
        <f>AND(Sheet1!F50,"AAAAAHyv73c=")</f>
        <v>#VALUE!</v>
      </c>
      <c r="DQ13" t="e">
        <f>AND(Sheet1!G50,"AAAAAHyv73g=")</f>
        <v>#VALUE!</v>
      </c>
      <c r="DR13" t="e">
        <f>AND(Sheet1!H50,"AAAAAHyv73k=")</f>
        <v>#VALUE!</v>
      </c>
      <c r="DS13" t="e">
        <f>AND(Sheet1!I50,"AAAAAHyv73o=")</f>
        <v>#VALUE!</v>
      </c>
      <c r="DT13" t="e">
        <f>AND(Sheet1!J50,"AAAAAHyv73s=")</f>
        <v>#VALUE!</v>
      </c>
      <c r="DU13" t="e">
        <f>AND(Sheet1!K50,"AAAAAHyv73w=")</f>
        <v>#VALUE!</v>
      </c>
      <c r="DV13" t="e">
        <f>AND(Sheet1!L50,"AAAAAHyv730=")</f>
        <v>#VALUE!</v>
      </c>
      <c r="DW13" t="e">
        <f>AND(Sheet1!M50,"AAAAAHyv734=")</f>
        <v>#VALUE!</v>
      </c>
      <c r="DX13" t="e">
        <f>AND(Sheet1!N50,"AAAAAHyv738=")</f>
        <v>#VALUE!</v>
      </c>
      <c r="DY13" t="e">
        <f>AND(Sheet1!O50,"AAAAAHyv74A=")</f>
        <v>#VALUE!</v>
      </c>
      <c r="DZ13" t="e">
        <f>AND(Sheet1!P50,"AAAAAHyv74E=")</f>
        <v>#VALUE!</v>
      </c>
      <c r="EA13" t="e">
        <f>AND(Sheet1!Q50,"AAAAAHyv74I=")</f>
        <v>#VALUE!</v>
      </c>
      <c r="EB13" t="e">
        <f>AND(Sheet1!R50,"AAAAAHyv74M=")</f>
        <v>#VALUE!</v>
      </c>
      <c r="EC13" t="e">
        <f>AND(Sheet1!S50,"AAAAAHyv74Q=")</f>
        <v>#VALUE!</v>
      </c>
      <c r="ED13" t="e">
        <f>AND(Sheet1!T50,"AAAAAHyv74U=")</f>
        <v>#VALUE!</v>
      </c>
      <c r="EE13" t="e">
        <f>AND(Sheet1!U50,"AAAAAHyv74Y=")</f>
        <v>#VALUE!</v>
      </c>
      <c r="EF13" t="e">
        <f>AND(Sheet1!V50,"AAAAAHyv74c=")</f>
        <v>#VALUE!</v>
      </c>
      <c r="EG13" t="e">
        <f>AND(Sheet1!W50,"AAAAAHyv74g=")</f>
        <v>#VALUE!</v>
      </c>
      <c r="EH13" t="e">
        <f>AND(Sheet1!X50,"AAAAAHyv74k=")</f>
        <v>#VALUE!</v>
      </c>
      <c r="EI13" t="e">
        <f>AND(Sheet1!Y50,"AAAAAHyv74o=")</f>
        <v>#VALUE!</v>
      </c>
      <c r="EJ13" t="e">
        <f>AND(Sheet1!Z50,"AAAAAHyv74s=")</f>
        <v>#VALUE!</v>
      </c>
      <c r="EK13" t="e">
        <f>AND(Sheet1!AA50,"AAAAAHyv74w=")</f>
        <v>#VALUE!</v>
      </c>
      <c r="EL13" t="e">
        <f>AND(Sheet1!AB50,"AAAAAHyv740=")</f>
        <v>#VALUE!</v>
      </c>
      <c r="EM13" t="e">
        <f>AND(Sheet1!AC50,"AAAAAHyv744=")</f>
        <v>#VALUE!</v>
      </c>
      <c r="EN13" t="e">
        <f>AND(Sheet1!AD50,"AAAAAHyv748=")</f>
        <v>#VALUE!</v>
      </c>
      <c r="EO13" t="e">
        <f>AND(Sheet1!AE50,"AAAAAHyv75A=")</f>
        <v>#VALUE!</v>
      </c>
      <c r="EP13" t="e">
        <f>AND(Sheet1!AF50,"AAAAAHyv75E=")</f>
        <v>#VALUE!</v>
      </c>
      <c r="EQ13" t="e">
        <f>AND(Sheet1!AG50,"AAAAAHyv75I=")</f>
        <v>#VALUE!</v>
      </c>
      <c r="ER13" t="e">
        <f>AND(Sheet1!AH50,"AAAAAHyv75M=")</f>
        <v>#VALUE!</v>
      </c>
      <c r="ES13" t="e">
        <f>AND(Sheet1!AI50,"AAAAAHyv75Q=")</f>
        <v>#VALUE!</v>
      </c>
      <c r="ET13" t="e">
        <f>AND(Sheet1!AJ50,"AAAAAHyv75U=")</f>
        <v>#VALUE!</v>
      </c>
      <c r="EU13" t="e">
        <f>AND(Sheet1!AK50,"AAAAAHyv75Y=")</f>
        <v>#VALUE!</v>
      </c>
      <c r="EV13" t="e">
        <f>AND(Sheet1!AL50,"AAAAAHyv75c=")</f>
        <v>#VALUE!</v>
      </c>
      <c r="EW13" t="e">
        <f>AND(Sheet1!AM50,"AAAAAHyv75g=")</f>
        <v>#VALUE!</v>
      </c>
      <c r="EX13" t="e">
        <f>AND(Sheet1!AN50,"AAAAAHyv75k=")</f>
        <v>#VALUE!</v>
      </c>
      <c r="EY13" t="e">
        <f>AND(Sheet1!AO50,"AAAAAHyv75o=")</f>
        <v>#VALUE!</v>
      </c>
      <c r="EZ13" t="e">
        <f>AND(Sheet1!AP50,"AAAAAHyv75s=")</f>
        <v>#VALUE!</v>
      </c>
      <c r="FA13" t="e">
        <f>AND(Sheet1!AQ50,"AAAAAHyv75w=")</f>
        <v>#VALUE!</v>
      </c>
      <c r="FB13" t="e">
        <f>AND(Sheet1!AR50,"AAAAAHyv750=")</f>
        <v>#VALUE!</v>
      </c>
      <c r="FC13" t="e">
        <f>AND(Sheet1!AS50,"AAAAAHyv754=")</f>
        <v>#VALUE!</v>
      </c>
      <c r="FD13" t="e">
        <f>AND(Sheet1!AT50,"AAAAAHyv758=")</f>
        <v>#VALUE!</v>
      </c>
      <c r="FE13" t="e">
        <f>AND(Sheet1!AU50,"AAAAAHyv76A=")</f>
        <v>#VALUE!</v>
      </c>
      <c r="FF13" t="e">
        <f>AND(Sheet1!AV50,"AAAAAHyv76E=")</f>
        <v>#VALUE!</v>
      </c>
      <c r="FG13" t="e">
        <f>AND(Sheet1!AW50,"AAAAAHyv76I=")</f>
        <v>#VALUE!</v>
      </c>
      <c r="FH13" t="e">
        <f>AND(Sheet1!AX50,"AAAAAHyv76M=")</f>
        <v>#VALUE!</v>
      </c>
      <c r="FI13" t="e">
        <f>AND(Sheet1!AY50,"AAAAAHyv76Q=")</f>
        <v>#VALUE!</v>
      </c>
      <c r="FJ13" t="e">
        <f>AND(Sheet1!AZ50,"AAAAAHyv76U=")</f>
        <v>#VALUE!</v>
      </c>
      <c r="FK13" t="e">
        <f>AND(Sheet1!BA50,"AAAAAHyv76Y=")</f>
        <v>#VALUE!</v>
      </c>
      <c r="FL13" t="e">
        <f>AND(Sheet1!BB50,"AAAAAHyv76c=")</f>
        <v>#VALUE!</v>
      </c>
      <c r="FM13" t="e">
        <f>AND(Sheet1!BC50,"AAAAAHyv76g=")</f>
        <v>#VALUE!</v>
      </c>
      <c r="FN13" t="e">
        <f>AND(Sheet1!BD50,"AAAAAHyv76k=")</f>
        <v>#VALUE!</v>
      </c>
      <c r="FO13" t="e">
        <f>AND(Sheet1!BE50,"AAAAAHyv76o=")</f>
        <v>#VALUE!</v>
      </c>
      <c r="FP13" t="e">
        <f>AND(Sheet1!BF50,"AAAAAHyv76s=")</f>
        <v>#VALUE!</v>
      </c>
      <c r="FQ13" t="e">
        <f>AND(Sheet1!BG50,"AAAAAHyv76w=")</f>
        <v>#VALUE!</v>
      </c>
      <c r="FR13" t="e">
        <f>AND(Sheet1!BH50,"AAAAAHyv760=")</f>
        <v>#VALUE!</v>
      </c>
      <c r="FS13" t="e">
        <f>AND(Sheet1!BI50,"AAAAAHyv764=")</f>
        <v>#VALUE!</v>
      </c>
      <c r="FT13" t="e">
        <f>AND(Sheet1!BJ50,"AAAAAHyv768=")</f>
        <v>#VALUE!</v>
      </c>
      <c r="FU13" t="e">
        <f>AND(Sheet1!BK50,"AAAAAHyv77A=")</f>
        <v>#VALUE!</v>
      </c>
      <c r="FV13" t="e">
        <f>AND(Sheet1!BL50,"AAAAAHyv77E=")</f>
        <v>#VALUE!</v>
      </c>
      <c r="FW13">
        <f>IF(Sheet1!51:51,"AAAAAHyv77I=",0)</f>
        <v>0</v>
      </c>
      <c r="FX13" t="e">
        <f>AND(Sheet1!A51,"AAAAAHyv77M=")</f>
        <v>#VALUE!</v>
      </c>
      <c r="FY13" t="e">
        <f>AND(Sheet1!B51,"AAAAAHyv77Q=")</f>
        <v>#VALUE!</v>
      </c>
      <c r="FZ13" t="e">
        <f>AND(Sheet1!C51,"AAAAAHyv77U=")</f>
        <v>#VALUE!</v>
      </c>
      <c r="GA13" t="e">
        <f>AND(Sheet1!D51,"AAAAAHyv77Y=")</f>
        <v>#VALUE!</v>
      </c>
      <c r="GB13" t="e">
        <f>AND(Sheet1!E51,"AAAAAHyv77c=")</f>
        <v>#VALUE!</v>
      </c>
      <c r="GC13" t="e">
        <f>AND(Sheet1!F51,"AAAAAHyv77g=")</f>
        <v>#VALUE!</v>
      </c>
      <c r="GD13" t="e">
        <f>AND(Sheet1!G51,"AAAAAHyv77k=")</f>
        <v>#VALUE!</v>
      </c>
      <c r="GE13" t="e">
        <f>AND(Sheet1!H51,"AAAAAHyv77o=")</f>
        <v>#VALUE!</v>
      </c>
      <c r="GF13" t="e">
        <f>AND(Sheet1!I51,"AAAAAHyv77s=")</f>
        <v>#VALUE!</v>
      </c>
      <c r="GG13" t="e">
        <f>AND(Sheet1!J51,"AAAAAHyv77w=")</f>
        <v>#VALUE!</v>
      </c>
      <c r="GH13" t="e">
        <f>AND(Sheet1!K51,"AAAAAHyv770=")</f>
        <v>#VALUE!</v>
      </c>
      <c r="GI13" t="e">
        <f>AND(Sheet1!L51,"AAAAAHyv774=")</f>
        <v>#VALUE!</v>
      </c>
      <c r="GJ13" t="e">
        <f>AND(Sheet1!M51,"AAAAAHyv778=")</f>
        <v>#VALUE!</v>
      </c>
      <c r="GK13" t="e">
        <f>AND(Sheet1!N51,"AAAAAHyv78A=")</f>
        <v>#VALUE!</v>
      </c>
      <c r="GL13" t="e">
        <f>AND(Sheet1!O51,"AAAAAHyv78E=")</f>
        <v>#VALUE!</v>
      </c>
      <c r="GM13" t="e">
        <f>AND(Sheet1!P51,"AAAAAHyv78I=")</f>
        <v>#VALUE!</v>
      </c>
      <c r="GN13" t="e">
        <f>AND(Sheet1!Q51,"AAAAAHyv78M=")</f>
        <v>#VALUE!</v>
      </c>
      <c r="GO13" t="e">
        <f>AND(Sheet1!R51,"AAAAAHyv78Q=")</f>
        <v>#VALUE!</v>
      </c>
      <c r="GP13" t="e">
        <f>AND(Sheet1!S51,"AAAAAHyv78U=")</f>
        <v>#VALUE!</v>
      </c>
      <c r="GQ13" t="e">
        <f>AND(Sheet1!T51,"AAAAAHyv78Y=")</f>
        <v>#VALUE!</v>
      </c>
      <c r="GR13" t="e">
        <f>AND(Sheet1!U51,"AAAAAHyv78c=")</f>
        <v>#VALUE!</v>
      </c>
      <c r="GS13" t="e">
        <f>AND(Sheet1!V51,"AAAAAHyv78g=")</f>
        <v>#VALUE!</v>
      </c>
      <c r="GT13" t="e">
        <f>AND(Sheet1!W51,"AAAAAHyv78k=")</f>
        <v>#VALUE!</v>
      </c>
      <c r="GU13" t="e">
        <f>AND(Sheet1!X51,"AAAAAHyv78o=")</f>
        <v>#VALUE!</v>
      </c>
      <c r="GV13" t="e">
        <f>AND(Sheet1!Y51,"AAAAAHyv78s=")</f>
        <v>#VALUE!</v>
      </c>
      <c r="GW13" t="e">
        <f>AND(Sheet1!Z51,"AAAAAHyv78w=")</f>
        <v>#VALUE!</v>
      </c>
      <c r="GX13" t="e">
        <f>AND(Sheet1!AA51,"AAAAAHyv780=")</f>
        <v>#VALUE!</v>
      </c>
      <c r="GY13" t="e">
        <f>AND(Sheet1!AB51,"AAAAAHyv784=")</f>
        <v>#VALUE!</v>
      </c>
      <c r="GZ13" t="e">
        <f>AND(Sheet1!AC51,"AAAAAHyv788=")</f>
        <v>#VALUE!</v>
      </c>
      <c r="HA13" t="e">
        <f>AND(Sheet1!AD51,"AAAAAHyv79A=")</f>
        <v>#VALUE!</v>
      </c>
      <c r="HB13" t="e">
        <f>AND(Sheet1!AE51,"AAAAAHyv79E=")</f>
        <v>#VALUE!</v>
      </c>
      <c r="HC13" t="e">
        <f>AND(Sheet1!AF51,"AAAAAHyv79I=")</f>
        <v>#VALUE!</v>
      </c>
      <c r="HD13" t="e">
        <f>AND(Sheet1!AG51,"AAAAAHyv79M=")</f>
        <v>#VALUE!</v>
      </c>
      <c r="HE13" t="e">
        <f>AND(Sheet1!AH51,"AAAAAHyv79Q=")</f>
        <v>#VALUE!</v>
      </c>
      <c r="HF13" t="e">
        <f>AND(Sheet1!AI51,"AAAAAHyv79U=")</f>
        <v>#VALUE!</v>
      </c>
      <c r="HG13" t="e">
        <f>AND(Sheet1!AJ51,"AAAAAHyv79Y=")</f>
        <v>#VALUE!</v>
      </c>
      <c r="HH13" t="e">
        <f>AND(Sheet1!AK51,"AAAAAHyv79c=")</f>
        <v>#VALUE!</v>
      </c>
      <c r="HI13" t="e">
        <f>AND(Sheet1!AL51,"AAAAAHyv79g=")</f>
        <v>#VALUE!</v>
      </c>
      <c r="HJ13" t="e">
        <f>AND(Sheet1!AM51,"AAAAAHyv79k=")</f>
        <v>#VALUE!</v>
      </c>
      <c r="HK13" t="e">
        <f>AND(Sheet1!AN51,"AAAAAHyv79o=")</f>
        <v>#VALUE!</v>
      </c>
      <c r="HL13" t="e">
        <f>AND(Sheet1!AO51,"AAAAAHyv79s=")</f>
        <v>#VALUE!</v>
      </c>
      <c r="HM13" t="e">
        <f>AND(Sheet1!AP51,"AAAAAHyv79w=")</f>
        <v>#VALUE!</v>
      </c>
      <c r="HN13" t="e">
        <f>AND(Sheet1!AQ51,"AAAAAHyv790=")</f>
        <v>#VALUE!</v>
      </c>
      <c r="HO13" t="e">
        <f>AND(Sheet1!AR51,"AAAAAHyv794=")</f>
        <v>#VALUE!</v>
      </c>
      <c r="HP13" t="e">
        <f>AND(Sheet1!AS51,"AAAAAHyv798=")</f>
        <v>#VALUE!</v>
      </c>
      <c r="HQ13" t="e">
        <f>AND(Sheet1!AT51,"AAAAAHyv7+A=")</f>
        <v>#VALUE!</v>
      </c>
      <c r="HR13" t="e">
        <f>AND(Sheet1!AU51,"AAAAAHyv7+E=")</f>
        <v>#VALUE!</v>
      </c>
      <c r="HS13" t="e">
        <f>AND(Sheet1!AV51,"AAAAAHyv7+I=")</f>
        <v>#VALUE!</v>
      </c>
      <c r="HT13" t="e">
        <f>AND(Sheet1!AW51,"AAAAAHyv7+M=")</f>
        <v>#VALUE!</v>
      </c>
      <c r="HU13" t="e">
        <f>AND(Sheet1!AX51,"AAAAAHyv7+Q=")</f>
        <v>#VALUE!</v>
      </c>
      <c r="HV13" t="e">
        <f>AND(Sheet1!AY51,"AAAAAHyv7+U=")</f>
        <v>#VALUE!</v>
      </c>
      <c r="HW13" t="e">
        <f>AND(Sheet1!AZ51,"AAAAAHyv7+Y=")</f>
        <v>#VALUE!</v>
      </c>
      <c r="HX13" t="e">
        <f>AND(Sheet1!BA51,"AAAAAHyv7+c=")</f>
        <v>#VALUE!</v>
      </c>
      <c r="HY13" t="e">
        <f>AND(Sheet1!BB51,"AAAAAHyv7+g=")</f>
        <v>#VALUE!</v>
      </c>
      <c r="HZ13" t="e">
        <f>AND(Sheet1!BC51,"AAAAAHyv7+k=")</f>
        <v>#VALUE!</v>
      </c>
      <c r="IA13" t="e">
        <f>AND(Sheet1!BD51,"AAAAAHyv7+o=")</f>
        <v>#VALUE!</v>
      </c>
      <c r="IB13" t="e">
        <f>AND(Sheet1!BE51,"AAAAAHyv7+s=")</f>
        <v>#VALUE!</v>
      </c>
      <c r="IC13" t="e">
        <f>AND(Sheet1!BF51,"AAAAAHyv7+w=")</f>
        <v>#VALUE!</v>
      </c>
      <c r="ID13" t="e">
        <f>AND(Sheet1!BG51,"AAAAAHyv7+0=")</f>
        <v>#VALUE!</v>
      </c>
      <c r="IE13" t="e">
        <f>AND(Sheet1!BH51,"AAAAAHyv7+4=")</f>
        <v>#VALUE!</v>
      </c>
      <c r="IF13" t="e">
        <f>AND(Sheet1!BI51,"AAAAAHyv7+8=")</f>
        <v>#VALUE!</v>
      </c>
      <c r="IG13" t="e">
        <f>AND(Sheet1!BJ51,"AAAAAHyv7/A=")</f>
        <v>#VALUE!</v>
      </c>
      <c r="IH13" t="e">
        <f>AND(Sheet1!BK51,"AAAAAHyv7/E=")</f>
        <v>#VALUE!</v>
      </c>
      <c r="II13" t="e">
        <f>AND(Sheet1!BL51,"AAAAAHyv7/I=")</f>
        <v>#VALUE!</v>
      </c>
      <c r="IJ13">
        <f>IF(Sheet1!52:52,"AAAAAHyv7/M=",0)</f>
        <v>0</v>
      </c>
      <c r="IK13" t="e">
        <f>AND(Sheet1!A52,"AAAAAHyv7/Q=")</f>
        <v>#VALUE!</v>
      </c>
      <c r="IL13" t="e">
        <f>AND(Sheet1!B52,"AAAAAHyv7/U=")</f>
        <v>#VALUE!</v>
      </c>
      <c r="IM13" t="e">
        <f>AND(Sheet1!C52,"AAAAAHyv7/Y=")</f>
        <v>#VALUE!</v>
      </c>
      <c r="IN13" t="e">
        <f>AND(Sheet1!D52,"AAAAAHyv7/c=")</f>
        <v>#VALUE!</v>
      </c>
      <c r="IO13" t="e">
        <f>AND(Sheet1!E52,"AAAAAHyv7/g=")</f>
        <v>#VALUE!</v>
      </c>
      <c r="IP13" t="e">
        <f>AND(Sheet1!F52,"AAAAAHyv7/k=")</f>
        <v>#VALUE!</v>
      </c>
      <c r="IQ13" t="e">
        <f>AND(Sheet1!G52,"AAAAAHyv7/o=")</f>
        <v>#VALUE!</v>
      </c>
      <c r="IR13" t="e">
        <f>AND(Sheet1!H52,"AAAAAHyv7/s=")</f>
        <v>#VALUE!</v>
      </c>
      <c r="IS13" t="e">
        <f>AND(Sheet1!I52,"AAAAAHyv7/w=")</f>
        <v>#VALUE!</v>
      </c>
      <c r="IT13" t="e">
        <f>AND(Sheet1!J52,"AAAAAHyv7/0=")</f>
        <v>#VALUE!</v>
      </c>
      <c r="IU13" t="e">
        <f>AND(Sheet1!K52,"AAAAAHyv7/4=")</f>
        <v>#VALUE!</v>
      </c>
      <c r="IV13" t="e">
        <f>AND(Sheet1!L52,"AAAAAHyv7/8=")</f>
        <v>#VALUE!</v>
      </c>
    </row>
    <row r="14" spans="1:256" ht="12.75">
      <c r="A14" t="e">
        <f>AND(Sheet1!M52,"AAAAAD/tXwA=")</f>
        <v>#VALUE!</v>
      </c>
      <c r="B14" t="e">
        <f>AND(Sheet1!N52,"AAAAAD/tXwE=")</f>
        <v>#VALUE!</v>
      </c>
      <c r="C14" t="e">
        <f>AND(Sheet1!O52,"AAAAAD/tXwI=")</f>
        <v>#VALUE!</v>
      </c>
      <c r="D14" t="e">
        <f>AND(Sheet1!P52,"AAAAAD/tXwM=")</f>
        <v>#VALUE!</v>
      </c>
      <c r="E14" t="e">
        <f>AND(Sheet1!Q52,"AAAAAD/tXwQ=")</f>
        <v>#VALUE!</v>
      </c>
      <c r="F14" t="e">
        <f>AND(Sheet1!R52,"AAAAAD/tXwU=")</f>
        <v>#VALUE!</v>
      </c>
      <c r="G14" t="e">
        <f>AND(Sheet1!S52,"AAAAAD/tXwY=")</f>
        <v>#VALUE!</v>
      </c>
      <c r="H14" t="e">
        <f>AND(Sheet1!T52,"AAAAAD/tXwc=")</f>
        <v>#VALUE!</v>
      </c>
      <c r="I14" t="e">
        <f>AND(Sheet1!U52,"AAAAAD/tXwg=")</f>
        <v>#VALUE!</v>
      </c>
      <c r="J14" t="e">
        <f>AND(Sheet1!V52,"AAAAAD/tXwk=")</f>
        <v>#VALUE!</v>
      </c>
      <c r="K14" t="e">
        <f>AND(Sheet1!W52,"AAAAAD/tXwo=")</f>
        <v>#VALUE!</v>
      </c>
      <c r="L14" t="e">
        <f>AND(Sheet1!X52,"AAAAAD/tXws=")</f>
        <v>#VALUE!</v>
      </c>
      <c r="M14" t="e">
        <f>AND(Sheet1!Y52,"AAAAAD/tXww=")</f>
        <v>#VALUE!</v>
      </c>
      <c r="N14" t="e">
        <f>AND(Sheet1!Z52,"AAAAAD/tXw0=")</f>
        <v>#VALUE!</v>
      </c>
      <c r="O14" t="e">
        <f>AND(Sheet1!AA52,"AAAAAD/tXw4=")</f>
        <v>#VALUE!</v>
      </c>
      <c r="P14" t="e">
        <f>AND(Sheet1!AB52,"AAAAAD/tXw8=")</f>
        <v>#VALUE!</v>
      </c>
      <c r="Q14" t="e">
        <f>AND(Sheet1!AC52,"AAAAAD/tXxA=")</f>
        <v>#VALUE!</v>
      </c>
      <c r="R14" t="e">
        <f>AND(Sheet1!AD52,"AAAAAD/tXxE=")</f>
        <v>#VALUE!</v>
      </c>
      <c r="S14" t="e">
        <f>AND(Sheet1!AE52,"AAAAAD/tXxI=")</f>
        <v>#VALUE!</v>
      </c>
      <c r="T14" t="e">
        <f>AND(Sheet1!AF52,"AAAAAD/tXxM=")</f>
        <v>#VALUE!</v>
      </c>
      <c r="U14" t="e">
        <f>AND(Sheet1!AG52,"AAAAAD/tXxQ=")</f>
        <v>#VALUE!</v>
      </c>
      <c r="V14" t="e">
        <f>AND(Sheet1!AH52,"AAAAAD/tXxU=")</f>
        <v>#VALUE!</v>
      </c>
      <c r="W14" t="e">
        <f>AND(Sheet1!AI52,"AAAAAD/tXxY=")</f>
        <v>#VALUE!</v>
      </c>
      <c r="X14" t="e">
        <f>AND(Sheet1!AJ52,"AAAAAD/tXxc=")</f>
        <v>#VALUE!</v>
      </c>
      <c r="Y14" t="e">
        <f>AND(Sheet1!AK52,"AAAAAD/tXxg=")</f>
        <v>#VALUE!</v>
      </c>
      <c r="Z14" t="e">
        <f>AND(Sheet1!AL52,"AAAAAD/tXxk=")</f>
        <v>#VALUE!</v>
      </c>
      <c r="AA14" t="e">
        <f>AND(Sheet1!AM52,"AAAAAD/tXxo=")</f>
        <v>#VALUE!</v>
      </c>
      <c r="AB14" t="e">
        <f>AND(Sheet1!AN52,"AAAAAD/tXxs=")</f>
        <v>#VALUE!</v>
      </c>
      <c r="AC14" t="e">
        <f>AND(Sheet1!AO52,"AAAAAD/tXxw=")</f>
        <v>#VALUE!</v>
      </c>
      <c r="AD14" t="e">
        <f>AND(Sheet1!AP52,"AAAAAD/tXx0=")</f>
        <v>#VALUE!</v>
      </c>
      <c r="AE14" t="e">
        <f>AND(Sheet1!AQ52,"AAAAAD/tXx4=")</f>
        <v>#VALUE!</v>
      </c>
      <c r="AF14" t="e">
        <f>AND(Sheet1!AR52,"AAAAAD/tXx8=")</f>
        <v>#VALUE!</v>
      </c>
      <c r="AG14" t="e">
        <f>AND(Sheet1!AS52,"AAAAAD/tXyA=")</f>
        <v>#VALUE!</v>
      </c>
      <c r="AH14" t="e">
        <f>AND(Sheet1!AT52,"AAAAAD/tXyE=")</f>
        <v>#VALUE!</v>
      </c>
      <c r="AI14" t="e">
        <f>AND(Sheet1!AU52,"AAAAAD/tXyI=")</f>
        <v>#VALUE!</v>
      </c>
      <c r="AJ14" t="e">
        <f>AND(Sheet1!AV52,"AAAAAD/tXyM=")</f>
        <v>#VALUE!</v>
      </c>
      <c r="AK14" t="e">
        <f>AND(Sheet1!AW52,"AAAAAD/tXyQ=")</f>
        <v>#VALUE!</v>
      </c>
      <c r="AL14" t="e">
        <f>AND(Sheet1!AX52,"AAAAAD/tXyU=")</f>
        <v>#VALUE!</v>
      </c>
      <c r="AM14" t="e">
        <f>AND(Sheet1!AY52,"AAAAAD/tXyY=")</f>
        <v>#VALUE!</v>
      </c>
      <c r="AN14" t="e">
        <f>AND(Sheet1!AZ52,"AAAAAD/tXyc=")</f>
        <v>#VALUE!</v>
      </c>
      <c r="AO14" t="e">
        <f>AND(Sheet1!BA52,"AAAAAD/tXyg=")</f>
        <v>#VALUE!</v>
      </c>
      <c r="AP14" t="e">
        <f>AND(Sheet1!BB52,"AAAAAD/tXyk=")</f>
        <v>#VALUE!</v>
      </c>
      <c r="AQ14" t="e">
        <f>AND(Sheet1!BC52,"AAAAAD/tXyo=")</f>
        <v>#VALUE!</v>
      </c>
      <c r="AR14" t="e">
        <f>AND(Sheet1!BD52,"AAAAAD/tXys=")</f>
        <v>#VALUE!</v>
      </c>
      <c r="AS14" t="e">
        <f>AND(Sheet1!BE52,"AAAAAD/tXyw=")</f>
        <v>#VALUE!</v>
      </c>
      <c r="AT14" t="e">
        <f>AND(Sheet1!BF52,"AAAAAD/tXy0=")</f>
        <v>#VALUE!</v>
      </c>
      <c r="AU14" t="e">
        <f>AND(Sheet1!BG52,"AAAAAD/tXy4=")</f>
        <v>#VALUE!</v>
      </c>
      <c r="AV14" t="e">
        <f>AND(Sheet1!BH52,"AAAAAD/tXy8=")</f>
        <v>#VALUE!</v>
      </c>
      <c r="AW14" t="e">
        <f>AND(Sheet1!BI52,"AAAAAD/tXzA=")</f>
        <v>#VALUE!</v>
      </c>
      <c r="AX14" t="e">
        <f>AND(Sheet1!BJ52,"AAAAAD/tXzE=")</f>
        <v>#VALUE!</v>
      </c>
      <c r="AY14" t="e">
        <f>AND(Sheet1!BK52,"AAAAAD/tXzI=")</f>
        <v>#VALUE!</v>
      </c>
      <c r="AZ14" t="e">
        <f>AND(Sheet1!BL52,"AAAAAD/tXzM=")</f>
        <v>#VALUE!</v>
      </c>
      <c r="BA14">
        <f>IF(Sheet1!53:53,"AAAAAD/tXzQ=",0)</f>
        <v>0</v>
      </c>
      <c r="BB14" t="e">
        <f>AND(Sheet1!A53,"AAAAAD/tXzU=")</f>
        <v>#VALUE!</v>
      </c>
      <c r="BC14" t="e">
        <f>AND(Sheet1!B53,"AAAAAD/tXzY=")</f>
        <v>#VALUE!</v>
      </c>
      <c r="BD14" t="e">
        <f>AND(Sheet1!C53,"AAAAAD/tXzc=")</f>
        <v>#VALUE!</v>
      </c>
      <c r="BE14" t="e">
        <f>AND(Sheet1!D53,"AAAAAD/tXzg=")</f>
        <v>#VALUE!</v>
      </c>
      <c r="BF14" t="e">
        <f>AND(Sheet1!E53,"AAAAAD/tXzk=")</f>
        <v>#VALUE!</v>
      </c>
      <c r="BG14" t="e">
        <f>AND(Sheet1!F53,"AAAAAD/tXzo=")</f>
        <v>#VALUE!</v>
      </c>
      <c r="BH14" t="e">
        <f>AND(Sheet1!G53,"AAAAAD/tXzs=")</f>
        <v>#VALUE!</v>
      </c>
      <c r="BI14" t="e">
        <f>AND(Sheet1!H53,"AAAAAD/tXzw=")</f>
        <v>#VALUE!</v>
      </c>
      <c r="BJ14" t="e">
        <f>AND(Sheet1!I53,"AAAAAD/tXz0=")</f>
        <v>#VALUE!</v>
      </c>
      <c r="BK14" t="e">
        <f>AND(Sheet1!J53,"AAAAAD/tXz4=")</f>
        <v>#VALUE!</v>
      </c>
      <c r="BL14" t="e">
        <f>AND(Sheet1!K53,"AAAAAD/tXz8=")</f>
        <v>#VALUE!</v>
      </c>
      <c r="BM14" t="e">
        <f>AND(Sheet1!L53,"AAAAAD/tX0A=")</f>
        <v>#VALUE!</v>
      </c>
      <c r="BN14" t="e">
        <f>AND(Sheet1!M53,"AAAAAD/tX0E=")</f>
        <v>#VALUE!</v>
      </c>
      <c r="BO14" t="e">
        <f>AND(Sheet1!N53,"AAAAAD/tX0I=")</f>
        <v>#VALUE!</v>
      </c>
      <c r="BP14" t="e">
        <f>AND(Sheet1!O53,"AAAAAD/tX0M=")</f>
        <v>#VALUE!</v>
      </c>
      <c r="BQ14" t="e">
        <f>AND(Sheet1!P53,"AAAAAD/tX0Q=")</f>
        <v>#VALUE!</v>
      </c>
      <c r="BR14" t="e">
        <f>AND(Sheet1!Q53,"AAAAAD/tX0U=")</f>
        <v>#VALUE!</v>
      </c>
      <c r="BS14" t="e">
        <f>AND(Sheet1!R53,"AAAAAD/tX0Y=")</f>
        <v>#VALUE!</v>
      </c>
      <c r="BT14" t="e">
        <f>AND(Sheet1!S53,"AAAAAD/tX0c=")</f>
        <v>#VALUE!</v>
      </c>
      <c r="BU14" t="e">
        <f>AND(Sheet1!T53,"AAAAAD/tX0g=")</f>
        <v>#VALUE!</v>
      </c>
      <c r="BV14" t="e">
        <f>AND(Sheet1!U53,"AAAAAD/tX0k=")</f>
        <v>#VALUE!</v>
      </c>
      <c r="BW14" t="e">
        <f>AND(Sheet1!V53,"AAAAAD/tX0o=")</f>
        <v>#VALUE!</v>
      </c>
      <c r="BX14" t="e">
        <f>AND(Sheet1!W53,"AAAAAD/tX0s=")</f>
        <v>#VALUE!</v>
      </c>
      <c r="BY14" t="e">
        <f>AND(Sheet1!X53,"AAAAAD/tX0w=")</f>
        <v>#VALUE!</v>
      </c>
      <c r="BZ14" t="e">
        <f>AND(Sheet1!Y53,"AAAAAD/tX00=")</f>
        <v>#VALUE!</v>
      </c>
      <c r="CA14" t="e">
        <f>AND(Sheet1!Z53,"AAAAAD/tX04=")</f>
        <v>#VALUE!</v>
      </c>
      <c r="CB14" t="e">
        <f>AND(Sheet1!AA53,"AAAAAD/tX08=")</f>
        <v>#VALUE!</v>
      </c>
      <c r="CC14" t="e">
        <f>AND(Sheet1!AB53,"AAAAAD/tX1A=")</f>
        <v>#VALUE!</v>
      </c>
      <c r="CD14" t="e">
        <f>AND(Sheet1!AC53,"AAAAAD/tX1E=")</f>
        <v>#VALUE!</v>
      </c>
      <c r="CE14" t="e">
        <f>AND(Sheet1!AD53,"AAAAAD/tX1I=")</f>
        <v>#VALUE!</v>
      </c>
      <c r="CF14" t="e">
        <f>AND(Sheet1!AE53,"AAAAAD/tX1M=")</f>
        <v>#VALUE!</v>
      </c>
      <c r="CG14" t="e">
        <f>AND(Sheet1!AF53,"AAAAAD/tX1Q=")</f>
        <v>#VALUE!</v>
      </c>
      <c r="CH14" t="e">
        <f>AND(Sheet1!AG53,"AAAAAD/tX1U=")</f>
        <v>#VALUE!</v>
      </c>
      <c r="CI14" t="e">
        <f>AND(Sheet1!AH53,"AAAAAD/tX1Y=")</f>
        <v>#VALUE!</v>
      </c>
      <c r="CJ14" t="e">
        <f>AND(Sheet1!AI53,"AAAAAD/tX1c=")</f>
        <v>#VALUE!</v>
      </c>
      <c r="CK14" t="e">
        <f>AND(Sheet1!AJ53,"AAAAAD/tX1g=")</f>
        <v>#VALUE!</v>
      </c>
      <c r="CL14" t="e">
        <f>AND(Sheet1!AK53,"AAAAAD/tX1k=")</f>
        <v>#VALUE!</v>
      </c>
      <c r="CM14" t="e">
        <f>AND(Sheet1!AL53,"AAAAAD/tX1o=")</f>
        <v>#VALUE!</v>
      </c>
      <c r="CN14" t="e">
        <f>AND(Sheet1!AM53,"AAAAAD/tX1s=")</f>
        <v>#VALUE!</v>
      </c>
      <c r="CO14" t="e">
        <f>AND(Sheet1!AN53,"AAAAAD/tX1w=")</f>
        <v>#VALUE!</v>
      </c>
      <c r="CP14" t="e">
        <f>AND(Sheet1!AO53,"AAAAAD/tX10=")</f>
        <v>#VALUE!</v>
      </c>
      <c r="CQ14" t="e">
        <f>AND(Sheet1!AP53,"AAAAAD/tX14=")</f>
        <v>#VALUE!</v>
      </c>
      <c r="CR14" t="e">
        <f>AND(Sheet1!AQ53,"AAAAAD/tX18=")</f>
        <v>#VALUE!</v>
      </c>
      <c r="CS14" t="e">
        <f>AND(Sheet1!AR53,"AAAAAD/tX2A=")</f>
        <v>#VALUE!</v>
      </c>
      <c r="CT14" t="e">
        <f>AND(Sheet1!AS53,"AAAAAD/tX2E=")</f>
        <v>#VALUE!</v>
      </c>
      <c r="CU14" t="e">
        <f>AND(Sheet1!AT53,"AAAAAD/tX2I=")</f>
        <v>#VALUE!</v>
      </c>
      <c r="CV14" t="e">
        <f>AND(Sheet1!AU53,"AAAAAD/tX2M=")</f>
        <v>#VALUE!</v>
      </c>
      <c r="CW14" t="e">
        <f>AND(Sheet1!AV53,"AAAAAD/tX2Q=")</f>
        <v>#VALUE!</v>
      </c>
      <c r="CX14" t="e">
        <f>AND(Sheet1!AW53,"AAAAAD/tX2U=")</f>
        <v>#VALUE!</v>
      </c>
      <c r="CY14" t="e">
        <f>AND(Sheet1!AX53,"AAAAAD/tX2Y=")</f>
        <v>#VALUE!</v>
      </c>
      <c r="CZ14" t="e">
        <f>AND(Sheet1!AY53,"AAAAAD/tX2c=")</f>
        <v>#VALUE!</v>
      </c>
      <c r="DA14" t="e">
        <f>AND(Sheet1!AZ53,"AAAAAD/tX2g=")</f>
        <v>#VALUE!</v>
      </c>
      <c r="DB14" t="e">
        <f>AND(Sheet1!BA53,"AAAAAD/tX2k=")</f>
        <v>#VALUE!</v>
      </c>
      <c r="DC14" t="e">
        <f>AND(Sheet1!BB53,"AAAAAD/tX2o=")</f>
        <v>#VALUE!</v>
      </c>
      <c r="DD14" t="e">
        <f>AND(Sheet1!BC53,"AAAAAD/tX2s=")</f>
        <v>#VALUE!</v>
      </c>
      <c r="DE14" t="e">
        <f>AND(Sheet1!BD53,"AAAAAD/tX2w=")</f>
        <v>#VALUE!</v>
      </c>
      <c r="DF14" t="e">
        <f>AND(Sheet1!BE53,"AAAAAD/tX20=")</f>
        <v>#VALUE!</v>
      </c>
      <c r="DG14" t="e">
        <f>AND(Sheet1!BF53,"AAAAAD/tX24=")</f>
        <v>#VALUE!</v>
      </c>
      <c r="DH14" t="e">
        <f>AND(Sheet1!BG53,"AAAAAD/tX28=")</f>
        <v>#VALUE!</v>
      </c>
      <c r="DI14" t="e">
        <f>AND(Sheet1!BH53,"AAAAAD/tX3A=")</f>
        <v>#VALUE!</v>
      </c>
      <c r="DJ14" t="e">
        <f>AND(Sheet1!BI53,"AAAAAD/tX3E=")</f>
        <v>#VALUE!</v>
      </c>
      <c r="DK14" t="e">
        <f>AND(Sheet1!BJ53,"AAAAAD/tX3I=")</f>
        <v>#VALUE!</v>
      </c>
      <c r="DL14" t="e">
        <f>AND(Sheet1!BK53,"AAAAAD/tX3M=")</f>
        <v>#VALUE!</v>
      </c>
      <c r="DM14" t="e">
        <f>AND(Sheet1!BL53,"AAAAAD/tX3Q=")</f>
        <v>#VALUE!</v>
      </c>
      <c r="DN14">
        <f>IF(Sheet1!54:54,"AAAAAD/tX3U=",0)</f>
        <v>0</v>
      </c>
      <c r="DO14" t="e">
        <f>AND(Sheet1!A54,"AAAAAD/tX3Y=")</f>
        <v>#VALUE!</v>
      </c>
      <c r="DP14" t="e">
        <f>AND(Sheet1!B54,"AAAAAD/tX3c=")</f>
        <v>#VALUE!</v>
      </c>
      <c r="DQ14" t="e">
        <f>AND(Sheet1!C54,"AAAAAD/tX3g=")</f>
        <v>#VALUE!</v>
      </c>
      <c r="DR14" t="e">
        <f>AND(Sheet1!D54,"AAAAAD/tX3k=")</f>
        <v>#VALUE!</v>
      </c>
      <c r="DS14" t="e">
        <f>AND(Sheet1!E54,"AAAAAD/tX3o=")</f>
        <v>#VALUE!</v>
      </c>
      <c r="DT14" t="e">
        <f>AND(Sheet1!F54,"AAAAAD/tX3s=")</f>
        <v>#VALUE!</v>
      </c>
      <c r="DU14" t="e">
        <f>AND(Sheet1!G54,"AAAAAD/tX3w=")</f>
        <v>#VALUE!</v>
      </c>
      <c r="DV14" t="e">
        <f>AND(Sheet1!H54,"AAAAAD/tX30=")</f>
        <v>#VALUE!</v>
      </c>
      <c r="DW14" t="e">
        <f>AND(Sheet1!I54,"AAAAAD/tX34=")</f>
        <v>#VALUE!</v>
      </c>
      <c r="DX14" t="e">
        <f>AND(Sheet1!J54,"AAAAAD/tX38=")</f>
        <v>#VALUE!</v>
      </c>
      <c r="DY14" t="e">
        <f>AND(Sheet1!K54,"AAAAAD/tX4A=")</f>
        <v>#VALUE!</v>
      </c>
      <c r="DZ14" t="e">
        <f>AND(Sheet1!L54,"AAAAAD/tX4E=")</f>
        <v>#VALUE!</v>
      </c>
      <c r="EA14" t="e">
        <f>AND(Sheet1!M54,"AAAAAD/tX4I=")</f>
        <v>#VALUE!</v>
      </c>
      <c r="EB14" t="e">
        <f>AND(Sheet1!N54,"AAAAAD/tX4M=")</f>
        <v>#VALUE!</v>
      </c>
      <c r="EC14" t="e">
        <f>AND(Sheet1!O54,"AAAAAD/tX4Q=")</f>
        <v>#VALUE!</v>
      </c>
      <c r="ED14" t="e">
        <f>AND(Sheet1!P54,"AAAAAD/tX4U=")</f>
        <v>#VALUE!</v>
      </c>
      <c r="EE14" t="e">
        <f>AND(Sheet1!Q54,"AAAAAD/tX4Y=")</f>
        <v>#VALUE!</v>
      </c>
      <c r="EF14" t="e">
        <f>AND(Sheet1!R54,"AAAAAD/tX4c=")</f>
        <v>#VALUE!</v>
      </c>
      <c r="EG14" t="e">
        <f>AND(Sheet1!S54,"AAAAAD/tX4g=")</f>
        <v>#VALUE!</v>
      </c>
      <c r="EH14" t="e">
        <f>AND(Sheet1!T54,"AAAAAD/tX4k=")</f>
        <v>#VALUE!</v>
      </c>
      <c r="EI14" t="e">
        <f>AND(Sheet1!U54,"AAAAAD/tX4o=")</f>
        <v>#VALUE!</v>
      </c>
      <c r="EJ14" t="e">
        <f>AND(Sheet1!V54,"AAAAAD/tX4s=")</f>
        <v>#VALUE!</v>
      </c>
      <c r="EK14" t="e">
        <f>AND(Sheet1!W54,"AAAAAD/tX4w=")</f>
        <v>#VALUE!</v>
      </c>
      <c r="EL14" t="e">
        <f>AND(Sheet1!X54,"AAAAAD/tX40=")</f>
        <v>#VALUE!</v>
      </c>
      <c r="EM14" t="e">
        <f>AND(Sheet1!Y54,"AAAAAD/tX44=")</f>
        <v>#VALUE!</v>
      </c>
      <c r="EN14" t="e">
        <f>AND(Sheet1!Z54,"AAAAAD/tX48=")</f>
        <v>#VALUE!</v>
      </c>
      <c r="EO14" t="e">
        <f>AND(Sheet1!AA54,"AAAAAD/tX5A=")</f>
        <v>#VALUE!</v>
      </c>
      <c r="EP14" t="e">
        <f>AND(Sheet1!AB54,"AAAAAD/tX5E=")</f>
        <v>#VALUE!</v>
      </c>
      <c r="EQ14" t="e">
        <f>AND(Sheet1!AC54,"AAAAAD/tX5I=")</f>
        <v>#VALUE!</v>
      </c>
      <c r="ER14" t="e">
        <f>AND(Sheet1!AD54,"AAAAAD/tX5M=")</f>
        <v>#VALUE!</v>
      </c>
      <c r="ES14" t="e">
        <f>AND(Sheet1!AE54,"AAAAAD/tX5Q=")</f>
        <v>#VALUE!</v>
      </c>
      <c r="ET14" t="e">
        <f>AND(Sheet1!AF54,"AAAAAD/tX5U=")</f>
        <v>#VALUE!</v>
      </c>
      <c r="EU14" t="e">
        <f>AND(Sheet1!AG54,"AAAAAD/tX5Y=")</f>
        <v>#VALUE!</v>
      </c>
      <c r="EV14" t="e">
        <f>AND(Sheet1!AH54,"AAAAAD/tX5c=")</f>
        <v>#VALUE!</v>
      </c>
      <c r="EW14" t="e">
        <f>AND(Sheet1!AI54,"AAAAAD/tX5g=")</f>
        <v>#VALUE!</v>
      </c>
      <c r="EX14" t="e">
        <f>AND(Sheet1!AJ54,"AAAAAD/tX5k=")</f>
        <v>#VALUE!</v>
      </c>
      <c r="EY14" t="e">
        <f>AND(Sheet1!AK54,"AAAAAD/tX5o=")</f>
        <v>#VALUE!</v>
      </c>
      <c r="EZ14" t="e">
        <f>AND(Sheet1!AL54,"AAAAAD/tX5s=")</f>
        <v>#VALUE!</v>
      </c>
      <c r="FA14" t="e">
        <f>AND(Sheet1!AM54,"AAAAAD/tX5w=")</f>
        <v>#VALUE!</v>
      </c>
      <c r="FB14" t="e">
        <f>AND(Sheet1!AN54,"AAAAAD/tX50=")</f>
        <v>#VALUE!</v>
      </c>
      <c r="FC14" t="e">
        <f>AND(Sheet1!AO54,"AAAAAD/tX54=")</f>
        <v>#VALUE!</v>
      </c>
      <c r="FD14" t="e">
        <f>AND(Sheet1!AP54,"AAAAAD/tX58=")</f>
        <v>#VALUE!</v>
      </c>
      <c r="FE14" t="e">
        <f>AND(Sheet1!AQ54,"AAAAAD/tX6A=")</f>
        <v>#VALUE!</v>
      </c>
      <c r="FF14" t="e">
        <f>AND(Sheet1!AR54,"AAAAAD/tX6E=")</f>
        <v>#VALUE!</v>
      </c>
      <c r="FG14" t="e">
        <f>AND(Sheet1!AS54,"AAAAAD/tX6I=")</f>
        <v>#VALUE!</v>
      </c>
      <c r="FH14" t="e">
        <f>AND(Sheet1!AT54,"AAAAAD/tX6M=")</f>
        <v>#VALUE!</v>
      </c>
      <c r="FI14" t="e">
        <f>AND(Sheet1!AU54,"AAAAAD/tX6Q=")</f>
        <v>#VALUE!</v>
      </c>
      <c r="FJ14" t="e">
        <f>AND(Sheet1!AV54,"AAAAAD/tX6U=")</f>
        <v>#VALUE!</v>
      </c>
      <c r="FK14" t="e">
        <f>AND(Sheet1!AW54,"AAAAAD/tX6Y=")</f>
        <v>#VALUE!</v>
      </c>
      <c r="FL14" t="e">
        <f>AND(Sheet1!AX54,"AAAAAD/tX6c=")</f>
        <v>#VALUE!</v>
      </c>
      <c r="FM14" t="e">
        <f>AND(Sheet1!AY54,"AAAAAD/tX6g=")</f>
        <v>#VALUE!</v>
      </c>
      <c r="FN14" t="e">
        <f>AND(Sheet1!AZ54,"AAAAAD/tX6k=")</f>
        <v>#VALUE!</v>
      </c>
      <c r="FO14" t="e">
        <f>AND(Sheet1!BA54,"AAAAAD/tX6o=")</f>
        <v>#VALUE!</v>
      </c>
      <c r="FP14" t="e">
        <f>AND(Sheet1!BB54,"AAAAAD/tX6s=")</f>
        <v>#VALUE!</v>
      </c>
      <c r="FQ14" t="e">
        <f>AND(Sheet1!BC54,"AAAAAD/tX6w=")</f>
        <v>#VALUE!</v>
      </c>
      <c r="FR14" t="e">
        <f>AND(Sheet1!BD54,"AAAAAD/tX60=")</f>
        <v>#VALUE!</v>
      </c>
      <c r="FS14" t="e">
        <f>AND(Sheet1!BE54,"AAAAAD/tX64=")</f>
        <v>#VALUE!</v>
      </c>
      <c r="FT14" t="e">
        <f>AND(Sheet1!BF54,"AAAAAD/tX68=")</f>
        <v>#VALUE!</v>
      </c>
      <c r="FU14" t="e">
        <f>AND(Sheet1!BG54,"AAAAAD/tX7A=")</f>
        <v>#VALUE!</v>
      </c>
      <c r="FV14" t="e">
        <f>AND(Sheet1!BH54,"AAAAAD/tX7E=")</f>
        <v>#VALUE!</v>
      </c>
      <c r="FW14" t="e">
        <f>AND(Sheet1!BI54,"AAAAAD/tX7I=")</f>
        <v>#VALUE!</v>
      </c>
      <c r="FX14" t="e">
        <f>AND(Sheet1!BJ54,"AAAAAD/tX7M=")</f>
        <v>#VALUE!</v>
      </c>
      <c r="FY14" t="e">
        <f>AND(Sheet1!BK54,"AAAAAD/tX7Q=")</f>
        <v>#VALUE!</v>
      </c>
      <c r="FZ14" t="e">
        <f>AND(Sheet1!BL54,"AAAAAD/tX7U=")</f>
        <v>#VALUE!</v>
      </c>
      <c r="GA14">
        <f>IF(Sheet1!55:55,"AAAAAD/tX7Y=",0)</f>
        <v>0</v>
      </c>
      <c r="GB14" t="e">
        <f>AND(Sheet1!A55,"AAAAAD/tX7c=")</f>
        <v>#VALUE!</v>
      </c>
      <c r="GC14" t="e">
        <f>AND(Sheet1!B55,"AAAAAD/tX7g=")</f>
        <v>#VALUE!</v>
      </c>
      <c r="GD14" t="e">
        <f>AND(Sheet1!C55,"AAAAAD/tX7k=")</f>
        <v>#VALUE!</v>
      </c>
      <c r="GE14" t="e">
        <f>AND(Sheet1!D55,"AAAAAD/tX7o=")</f>
        <v>#VALUE!</v>
      </c>
      <c r="GF14" t="e">
        <f>AND(Sheet1!E55,"AAAAAD/tX7s=")</f>
        <v>#VALUE!</v>
      </c>
      <c r="GG14" t="e">
        <f>AND(Sheet1!F55,"AAAAAD/tX7w=")</f>
        <v>#VALUE!</v>
      </c>
      <c r="GH14" t="e">
        <f>AND(Sheet1!G55,"AAAAAD/tX70=")</f>
        <v>#VALUE!</v>
      </c>
      <c r="GI14" t="e">
        <f>AND(Sheet1!H55,"AAAAAD/tX74=")</f>
        <v>#VALUE!</v>
      </c>
      <c r="GJ14" t="e">
        <f>AND(Sheet1!I55,"AAAAAD/tX78=")</f>
        <v>#VALUE!</v>
      </c>
      <c r="GK14" t="e">
        <f>AND(Sheet1!J55,"AAAAAD/tX8A=")</f>
        <v>#VALUE!</v>
      </c>
      <c r="GL14" t="e">
        <f>AND(Sheet1!K55,"AAAAAD/tX8E=")</f>
        <v>#VALUE!</v>
      </c>
      <c r="GM14" t="e">
        <f>AND(Sheet1!L55,"AAAAAD/tX8I=")</f>
        <v>#VALUE!</v>
      </c>
      <c r="GN14" t="e">
        <f>AND(Sheet1!M55,"AAAAAD/tX8M=")</f>
        <v>#VALUE!</v>
      </c>
      <c r="GO14" t="e">
        <f>AND(Sheet1!N55,"AAAAAD/tX8Q=")</f>
        <v>#VALUE!</v>
      </c>
      <c r="GP14" t="e">
        <f>AND(Sheet1!O55,"AAAAAD/tX8U=")</f>
        <v>#VALUE!</v>
      </c>
      <c r="GQ14" t="e">
        <f>AND(Sheet1!P55,"AAAAAD/tX8Y=")</f>
        <v>#VALUE!</v>
      </c>
      <c r="GR14" t="e">
        <f>AND(Sheet1!Q55,"AAAAAD/tX8c=")</f>
        <v>#VALUE!</v>
      </c>
      <c r="GS14" t="e">
        <f>AND(Sheet1!R55,"AAAAAD/tX8g=")</f>
        <v>#VALUE!</v>
      </c>
      <c r="GT14" t="e">
        <f>AND(Sheet1!S55,"AAAAAD/tX8k=")</f>
        <v>#VALUE!</v>
      </c>
      <c r="GU14" t="e">
        <f>AND(Sheet1!T55,"AAAAAD/tX8o=")</f>
        <v>#VALUE!</v>
      </c>
      <c r="GV14" t="e">
        <f>AND(Sheet1!U55,"AAAAAD/tX8s=")</f>
        <v>#VALUE!</v>
      </c>
      <c r="GW14" t="e">
        <f>AND(Sheet1!V55,"AAAAAD/tX8w=")</f>
        <v>#VALUE!</v>
      </c>
      <c r="GX14" t="e">
        <f>AND(Sheet1!W55,"AAAAAD/tX80=")</f>
        <v>#VALUE!</v>
      </c>
      <c r="GY14" t="e">
        <f>AND(Sheet1!X55,"AAAAAD/tX84=")</f>
        <v>#VALUE!</v>
      </c>
      <c r="GZ14" t="e">
        <f>AND(Sheet1!Y55,"AAAAAD/tX88=")</f>
        <v>#VALUE!</v>
      </c>
      <c r="HA14" t="e">
        <f>AND(Sheet1!Z55,"AAAAAD/tX9A=")</f>
        <v>#VALUE!</v>
      </c>
      <c r="HB14" t="e">
        <f>AND(Sheet1!AA55,"AAAAAD/tX9E=")</f>
        <v>#VALUE!</v>
      </c>
      <c r="HC14" t="e">
        <f>AND(Sheet1!AB55,"AAAAAD/tX9I=")</f>
        <v>#VALUE!</v>
      </c>
      <c r="HD14" t="e">
        <f>AND(Sheet1!AC55,"AAAAAD/tX9M=")</f>
        <v>#VALUE!</v>
      </c>
      <c r="HE14" t="e">
        <f>AND(Sheet1!AD55,"AAAAAD/tX9Q=")</f>
        <v>#VALUE!</v>
      </c>
      <c r="HF14" t="e">
        <f>AND(Sheet1!AE55,"AAAAAD/tX9U=")</f>
        <v>#VALUE!</v>
      </c>
      <c r="HG14" t="e">
        <f>AND(Sheet1!AF55,"AAAAAD/tX9Y=")</f>
        <v>#VALUE!</v>
      </c>
      <c r="HH14" t="e">
        <f>AND(Sheet1!AG55,"AAAAAD/tX9c=")</f>
        <v>#VALUE!</v>
      </c>
      <c r="HI14" t="e">
        <f>AND(Sheet1!AH55,"AAAAAD/tX9g=")</f>
        <v>#VALUE!</v>
      </c>
      <c r="HJ14" t="e">
        <f>AND(Sheet1!AI55,"AAAAAD/tX9k=")</f>
        <v>#VALUE!</v>
      </c>
      <c r="HK14" t="e">
        <f>AND(Sheet1!AJ55,"AAAAAD/tX9o=")</f>
        <v>#VALUE!</v>
      </c>
      <c r="HL14" t="e">
        <f>AND(Sheet1!AK55,"AAAAAD/tX9s=")</f>
        <v>#VALUE!</v>
      </c>
      <c r="HM14" t="e">
        <f>AND(Sheet1!AL55,"AAAAAD/tX9w=")</f>
        <v>#VALUE!</v>
      </c>
      <c r="HN14" t="e">
        <f>AND(Sheet1!AM55,"AAAAAD/tX90=")</f>
        <v>#VALUE!</v>
      </c>
      <c r="HO14" t="e">
        <f>AND(Sheet1!AN55,"AAAAAD/tX94=")</f>
        <v>#VALUE!</v>
      </c>
      <c r="HP14" t="e">
        <f>AND(Sheet1!AO55,"AAAAAD/tX98=")</f>
        <v>#VALUE!</v>
      </c>
      <c r="HQ14" t="e">
        <f>AND(Sheet1!AP55,"AAAAAD/tX+A=")</f>
        <v>#VALUE!</v>
      </c>
      <c r="HR14" t="e">
        <f>AND(Sheet1!AQ55,"AAAAAD/tX+E=")</f>
        <v>#VALUE!</v>
      </c>
      <c r="HS14" t="e">
        <f>AND(Sheet1!AR55,"AAAAAD/tX+I=")</f>
        <v>#VALUE!</v>
      </c>
      <c r="HT14" t="e">
        <f>AND(Sheet1!AS55,"AAAAAD/tX+M=")</f>
        <v>#VALUE!</v>
      </c>
      <c r="HU14" t="e">
        <f>AND(Sheet1!AT55,"AAAAAD/tX+Q=")</f>
        <v>#VALUE!</v>
      </c>
      <c r="HV14" t="e">
        <f>AND(Sheet1!AU55,"AAAAAD/tX+U=")</f>
        <v>#VALUE!</v>
      </c>
      <c r="HW14" t="e">
        <f>AND(Sheet1!AV55,"AAAAAD/tX+Y=")</f>
        <v>#VALUE!</v>
      </c>
      <c r="HX14" t="e">
        <f>AND(Sheet1!AW55,"AAAAAD/tX+c=")</f>
        <v>#VALUE!</v>
      </c>
      <c r="HY14" t="e">
        <f>AND(Sheet1!AX55,"AAAAAD/tX+g=")</f>
        <v>#VALUE!</v>
      </c>
      <c r="HZ14" t="e">
        <f>AND(Sheet1!AY55,"AAAAAD/tX+k=")</f>
        <v>#VALUE!</v>
      </c>
      <c r="IA14" t="e">
        <f>AND(Sheet1!AZ55,"AAAAAD/tX+o=")</f>
        <v>#VALUE!</v>
      </c>
      <c r="IB14" t="e">
        <f>AND(Sheet1!BA55,"AAAAAD/tX+s=")</f>
        <v>#VALUE!</v>
      </c>
      <c r="IC14" t="e">
        <f>AND(Sheet1!BB55,"AAAAAD/tX+w=")</f>
        <v>#VALUE!</v>
      </c>
      <c r="ID14" t="e">
        <f>AND(Sheet1!BC55,"AAAAAD/tX+0=")</f>
        <v>#VALUE!</v>
      </c>
      <c r="IE14" t="e">
        <f>AND(Sheet1!BD55,"AAAAAD/tX+4=")</f>
        <v>#VALUE!</v>
      </c>
      <c r="IF14" t="e">
        <f>AND(Sheet1!BE55,"AAAAAD/tX+8=")</f>
        <v>#VALUE!</v>
      </c>
      <c r="IG14" t="e">
        <f>AND(Sheet1!BF55,"AAAAAD/tX/A=")</f>
        <v>#VALUE!</v>
      </c>
      <c r="IH14" t="e">
        <f>AND(Sheet1!BG55,"AAAAAD/tX/E=")</f>
        <v>#VALUE!</v>
      </c>
      <c r="II14" t="e">
        <f>AND(Sheet1!BH55,"AAAAAD/tX/I=")</f>
        <v>#VALUE!</v>
      </c>
      <c r="IJ14" t="e">
        <f>AND(Sheet1!BI55,"AAAAAD/tX/M=")</f>
        <v>#VALUE!</v>
      </c>
      <c r="IK14" t="e">
        <f>AND(Sheet1!BJ55,"AAAAAD/tX/Q=")</f>
        <v>#VALUE!</v>
      </c>
      <c r="IL14" t="e">
        <f>AND(Sheet1!BK55,"AAAAAD/tX/U=")</f>
        <v>#VALUE!</v>
      </c>
      <c r="IM14" t="e">
        <f>AND(Sheet1!BL55,"AAAAAD/tX/Y=")</f>
        <v>#VALUE!</v>
      </c>
      <c r="IN14">
        <f>IF(Sheet1!56:56,"AAAAAD/tX/c=",0)</f>
        <v>0</v>
      </c>
      <c r="IO14" t="e">
        <f>AND(Sheet1!A56,"AAAAAD/tX/g=")</f>
        <v>#VALUE!</v>
      </c>
      <c r="IP14" t="e">
        <f>AND(Sheet1!B56,"AAAAAD/tX/k=")</f>
        <v>#VALUE!</v>
      </c>
      <c r="IQ14" t="e">
        <f>AND(Sheet1!C56,"AAAAAD/tX/o=")</f>
        <v>#VALUE!</v>
      </c>
      <c r="IR14" t="e">
        <f>AND(Sheet1!D56,"AAAAAD/tX/s=")</f>
        <v>#VALUE!</v>
      </c>
      <c r="IS14" t="e">
        <f>AND(Sheet1!E56,"AAAAAD/tX/w=")</f>
        <v>#VALUE!</v>
      </c>
      <c r="IT14" t="e">
        <f>AND(Sheet1!F56,"AAAAAD/tX/0=")</f>
        <v>#VALUE!</v>
      </c>
      <c r="IU14" t="e">
        <f>AND(Sheet1!G56,"AAAAAD/tX/4=")</f>
        <v>#VALUE!</v>
      </c>
      <c r="IV14" t="e">
        <f>AND(Sheet1!H56,"AAAAAD/tX/8=")</f>
        <v>#VALUE!</v>
      </c>
    </row>
    <row r="15" spans="1:256" ht="12.75">
      <c r="A15" t="e">
        <f>AND(Sheet1!I56,"AAAAAF27egA=")</f>
        <v>#VALUE!</v>
      </c>
      <c r="B15" t="e">
        <f>AND(Sheet1!J56,"AAAAAF27egE=")</f>
        <v>#VALUE!</v>
      </c>
      <c r="C15" t="e">
        <f>AND(Sheet1!K56,"AAAAAF27egI=")</f>
        <v>#VALUE!</v>
      </c>
      <c r="D15" t="e">
        <f>AND(Sheet1!L56,"AAAAAF27egM=")</f>
        <v>#VALUE!</v>
      </c>
      <c r="E15" t="e">
        <f>AND(Sheet1!M56,"AAAAAF27egQ=")</f>
        <v>#VALUE!</v>
      </c>
      <c r="F15" t="e">
        <f>AND(Sheet1!N56,"AAAAAF27egU=")</f>
        <v>#VALUE!</v>
      </c>
      <c r="G15" t="e">
        <f>AND(Sheet1!O56,"AAAAAF27egY=")</f>
        <v>#VALUE!</v>
      </c>
      <c r="H15" t="e">
        <f>AND(Sheet1!P56,"AAAAAF27egc=")</f>
        <v>#VALUE!</v>
      </c>
      <c r="I15" t="e">
        <f>AND(Sheet1!Q56,"AAAAAF27egg=")</f>
        <v>#VALUE!</v>
      </c>
      <c r="J15" t="e">
        <f>AND(Sheet1!R56,"AAAAAF27egk=")</f>
        <v>#VALUE!</v>
      </c>
      <c r="K15" t="e">
        <f>AND(Sheet1!S56,"AAAAAF27ego=")</f>
        <v>#VALUE!</v>
      </c>
      <c r="L15" t="e">
        <f>AND(Sheet1!T56,"AAAAAF27egs=")</f>
        <v>#VALUE!</v>
      </c>
      <c r="M15" t="e">
        <f>AND(Sheet1!U56,"AAAAAF27egw=")</f>
        <v>#VALUE!</v>
      </c>
      <c r="N15" t="e">
        <f>AND(Sheet1!V56,"AAAAAF27eg0=")</f>
        <v>#VALUE!</v>
      </c>
      <c r="O15" t="e">
        <f>AND(Sheet1!W56,"AAAAAF27eg4=")</f>
        <v>#VALUE!</v>
      </c>
      <c r="P15" t="e">
        <f>AND(Sheet1!X56,"AAAAAF27eg8=")</f>
        <v>#VALUE!</v>
      </c>
      <c r="Q15" t="e">
        <f>AND(Sheet1!Y56,"AAAAAF27ehA=")</f>
        <v>#VALUE!</v>
      </c>
      <c r="R15" t="e">
        <f>AND(Sheet1!Z56,"AAAAAF27ehE=")</f>
        <v>#VALUE!</v>
      </c>
      <c r="S15" t="e">
        <f>AND(Sheet1!AA56,"AAAAAF27ehI=")</f>
        <v>#VALUE!</v>
      </c>
      <c r="T15" t="e">
        <f>AND(Sheet1!AB56,"AAAAAF27ehM=")</f>
        <v>#VALUE!</v>
      </c>
      <c r="U15" t="e">
        <f>AND(Sheet1!AC56,"AAAAAF27ehQ=")</f>
        <v>#VALUE!</v>
      </c>
      <c r="V15" t="e">
        <f>AND(Sheet1!AD56,"AAAAAF27ehU=")</f>
        <v>#VALUE!</v>
      </c>
      <c r="W15" t="e">
        <f>AND(Sheet1!AE56,"AAAAAF27ehY=")</f>
        <v>#VALUE!</v>
      </c>
      <c r="X15" t="e">
        <f>AND(Sheet1!AF56,"AAAAAF27ehc=")</f>
        <v>#VALUE!</v>
      </c>
      <c r="Y15" t="e">
        <f>AND(Sheet1!AG56,"AAAAAF27ehg=")</f>
        <v>#VALUE!</v>
      </c>
      <c r="Z15" t="e">
        <f>AND(Sheet1!AH56,"AAAAAF27ehk=")</f>
        <v>#VALUE!</v>
      </c>
      <c r="AA15" t="e">
        <f>AND(Sheet1!AI56,"AAAAAF27eho=")</f>
        <v>#VALUE!</v>
      </c>
      <c r="AB15" t="e">
        <f>AND(Sheet1!AJ56,"AAAAAF27ehs=")</f>
        <v>#VALUE!</v>
      </c>
      <c r="AC15" t="e">
        <f>AND(Sheet1!AK56,"AAAAAF27ehw=")</f>
        <v>#VALUE!</v>
      </c>
      <c r="AD15" t="e">
        <f>AND(Sheet1!AL56,"AAAAAF27eh0=")</f>
        <v>#VALUE!</v>
      </c>
      <c r="AE15" t="e">
        <f>AND(Sheet1!AM56,"AAAAAF27eh4=")</f>
        <v>#VALUE!</v>
      </c>
      <c r="AF15" t="e">
        <f>AND(Sheet1!AN56,"AAAAAF27eh8=")</f>
        <v>#VALUE!</v>
      </c>
      <c r="AG15" t="e">
        <f>AND(Sheet1!AO56,"AAAAAF27eiA=")</f>
        <v>#VALUE!</v>
      </c>
      <c r="AH15" t="e">
        <f>AND(Sheet1!AP56,"AAAAAF27eiE=")</f>
        <v>#VALUE!</v>
      </c>
      <c r="AI15" t="e">
        <f>AND(Sheet1!AQ56,"AAAAAF27eiI=")</f>
        <v>#VALUE!</v>
      </c>
      <c r="AJ15" t="e">
        <f>AND(Sheet1!AR56,"AAAAAF27eiM=")</f>
        <v>#VALUE!</v>
      </c>
      <c r="AK15" t="e">
        <f>AND(Sheet1!AS56,"AAAAAF27eiQ=")</f>
        <v>#VALUE!</v>
      </c>
      <c r="AL15" t="e">
        <f>AND(Sheet1!AT56,"AAAAAF27eiU=")</f>
        <v>#VALUE!</v>
      </c>
      <c r="AM15" t="e">
        <f>AND(Sheet1!AU56,"AAAAAF27eiY=")</f>
        <v>#VALUE!</v>
      </c>
      <c r="AN15" t="e">
        <f>AND(Sheet1!AV56,"AAAAAF27eic=")</f>
        <v>#VALUE!</v>
      </c>
      <c r="AO15" t="e">
        <f>AND(Sheet1!AW56,"AAAAAF27eig=")</f>
        <v>#VALUE!</v>
      </c>
      <c r="AP15" t="e">
        <f>AND(Sheet1!AX56,"AAAAAF27eik=")</f>
        <v>#VALUE!</v>
      </c>
      <c r="AQ15" t="e">
        <f>AND(Sheet1!AY56,"AAAAAF27eio=")</f>
        <v>#VALUE!</v>
      </c>
      <c r="AR15" t="e">
        <f>AND(Sheet1!AZ56,"AAAAAF27eis=")</f>
        <v>#VALUE!</v>
      </c>
      <c r="AS15" t="e">
        <f>AND(Sheet1!BA56,"AAAAAF27eiw=")</f>
        <v>#VALUE!</v>
      </c>
      <c r="AT15" t="e">
        <f>AND(Sheet1!BB56,"AAAAAF27ei0=")</f>
        <v>#VALUE!</v>
      </c>
      <c r="AU15" t="e">
        <f>AND(Sheet1!BC56,"AAAAAF27ei4=")</f>
        <v>#VALUE!</v>
      </c>
      <c r="AV15" t="e">
        <f>AND(Sheet1!BD56,"AAAAAF27ei8=")</f>
        <v>#VALUE!</v>
      </c>
      <c r="AW15" t="e">
        <f>AND(Sheet1!BE56,"AAAAAF27ejA=")</f>
        <v>#VALUE!</v>
      </c>
      <c r="AX15" t="e">
        <f>AND(Sheet1!BF56,"AAAAAF27ejE=")</f>
        <v>#VALUE!</v>
      </c>
      <c r="AY15" t="e">
        <f>AND(Sheet1!BG56,"AAAAAF27ejI=")</f>
        <v>#VALUE!</v>
      </c>
      <c r="AZ15" t="e">
        <f>AND(Sheet1!BH56,"AAAAAF27ejM=")</f>
        <v>#VALUE!</v>
      </c>
      <c r="BA15" t="e">
        <f>AND(Sheet1!BI56,"AAAAAF27ejQ=")</f>
        <v>#VALUE!</v>
      </c>
      <c r="BB15" t="e">
        <f>AND(Sheet1!BJ56,"AAAAAF27ejU=")</f>
        <v>#VALUE!</v>
      </c>
      <c r="BC15" t="e">
        <f>AND(Sheet1!BK56,"AAAAAF27ejY=")</f>
        <v>#VALUE!</v>
      </c>
      <c r="BD15" t="e">
        <f>AND(Sheet1!BL56,"AAAAAF27ejc=")</f>
        <v>#VALUE!</v>
      </c>
      <c r="BE15">
        <f>IF(Sheet1!57:57,"AAAAAF27ejg=",0)</f>
        <v>0</v>
      </c>
      <c r="BF15" t="e">
        <f>AND(Sheet1!A57,"AAAAAF27ejk=")</f>
        <v>#VALUE!</v>
      </c>
      <c r="BG15" t="e">
        <f>AND(Sheet1!B57,"AAAAAF27ejo=")</f>
        <v>#VALUE!</v>
      </c>
      <c r="BH15" t="e">
        <f>AND(Sheet1!C57,"AAAAAF27ejs=")</f>
        <v>#VALUE!</v>
      </c>
      <c r="BI15" t="e">
        <f>AND(Sheet1!D57,"AAAAAF27ejw=")</f>
        <v>#VALUE!</v>
      </c>
      <c r="BJ15" t="e">
        <f>AND(Sheet1!E57,"AAAAAF27ej0=")</f>
        <v>#VALUE!</v>
      </c>
      <c r="BK15" t="e">
        <f>AND(Sheet1!F57,"AAAAAF27ej4=")</f>
        <v>#VALUE!</v>
      </c>
      <c r="BL15" t="e">
        <f>AND(Sheet1!G57,"AAAAAF27ej8=")</f>
        <v>#VALUE!</v>
      </c>
      <c r="BM15" t="e">
        <f>AND(Sheet1!H57,"AAAAAF27ekA=")</f>
        <v>#VALUE!</v>
      </c>
      <c r="BN15" t="e">
        <f>AND(Sheet1!I57,"AAAAAF27ekE=")</f>
        <v>#VALUE!</v>
      </c>
      <c r="BO15" t="e">
        <f>AND(Sheet1!J57,"AAAAAF27ekI=")</f>
        <v>#VALUE!</v>
      </c>
      <c r="BP15" t="e">
        <f>AND(Sheet1!K57,"AAAAAF27ekM=")</f>
        <v>#VALUE!</v>
      </c>
      <c r="BQ15" t="e">
        <f>AND(Sheet1!L57,"AAAAAF27ekQ=")</f>
        <v>#VALUE!</v>
      </c>
      <c r="BR15" t="e">
        <f>AND(Sheet1!M57,"AAAAAF27ekU=")</f>
        <v>#VALUE!</v>
      </c>
      <c r="BS15" t="e">
        <f>AND(Sheet1!N57,"AAAAAF27ekY=")</f>
        <v>#VALUE!</v>
      </c>
      <c r="BT15" t="e">
        <f>AND(Sheet1!O57,"AAAAAF27ekc=")</f>
        <v>#VALUE!</v>
      </c>
      <c r="BU15" t="e">
        <f>AND(Sheet1!P57,"AAAAAF27ekg=")</f>
        <v>#VALUE!</v>
      </c>
      <c r="BV15" t="e">
        <f>AND(Sheet1!Q57,"AAAAAF27ekk=")</f>
        <v>#VALUE!</v>
      </c>
      <c r="BW15" t="e">
        <f>AND(Sheet1!R57,"AAAAAF27eko=")</f>
        <v>#VALUE!</v>
      </c>
      <c r="BX15" t="e">
        <f>AND(Sheet1!S57,"AAAAAF27eks=")</f>
        <v>#VALUE!</v>
      </c>
      <c r="BY15" t="e">
        <f>AND(Sheet1!T57,"AAAAAF27ekw=")</f>
        <v>#VALUE!</v>
      </c>
      <c r="BZ15" t="e">
        <f>AND(Sheet1!U57,"AAAAAF27ek0=")</f>
        <v>#VALUE!</v>
      </c>
      <c r="CA15" t="e">
        <f>AND(Sheet1!V57,"AAAAAF27ek4=")</f>
        <v>#VALUE!</v>
      </c>
      <c r="CB15" t="e">
        <f>AND(Sheet1!W57,"AAAAAF27ek8=")</f>
        <v>#VALUE!</v>
      </c>
      <c r="CC15" t="e">
        <f>AND(Sheet1!X57,"AAAAAF27elA=")</f>
        <v>#VALUE!</v>
      </c>
      <c r="CD15" t="e">
        <f>AND(Sheet1!Y57,"AAAAAF27elE=")</f>
        <v>#VALUE!</v>
      </c>
      <c r="CE15" t="e">
        <f>AND(Sheet1!Z57,"AAAAAF27elI=")</f>
        <v>#VALUE!</v>
      </c>
      <c r="CF15" t="e">
        <f>AND(Sheet1!AA57,"AAAAAF27elM=")</f>
        <v>#VALUE!</v>
      </c>
      <c r="CG15" t="e">
        <f>AND(Sheet1!AB57,"AAAAAF27elQ=")</f>
        <v>#VALUE!</v>
      </c>
      <c r="CH15" t="e">
        <f>AND(Sheet1!AC57,"AAAAAF27elU=")</f>
        <v>#VALUE!</v>
      </c>
      <c r="CI15" t="e">
        <f>AND(Sheet1!AD57,"AAAAAF27elY=")</f>
        <v>#VALUE!</v>
      </c>
      <c r="CJ15" t="e">
        <f>AND(Sheet1!AE57,"AAAAAF27elc=")</f>
        <v>#VALUE!</v>
      </c>
      <c r="CK15" t="e">
        <f>AND(Sheet1!AF57,"AAAAAF27elg=")</f>
        <v>#VALUE!</v>
      </c>
      <c r="CL15" t="e">
        <f>AND(Sheet1!AG57,"AAAAAF27elk=")</f>
        <v>#VALUE!</v>
      </c>
      <c r="CM15" t="e">
        <f>AND(Sheet1!AH57,"AAAAAF27elo=")</f>
        <v>#VALUE!</v>
      </c>
      <c r="CN15" t="e">
        <f>AND(Sheet1!AI57,"AAAAAF27els=")</f>
        <v>#VALUE!</v>
      </c>
      <c r="CO15" t="e">
        <f>AND(Sheet1!AJ57,"AAAAAF27elw=")</f>
        <v>#VALUE!</v>
      </c>
      <c r="CP15" t="e">
        <f>AND(Sheet1!AK57,"AAAAAF27el0=")</f>
        <v>#VALUE!</v>
      </c>
      <c r="CQ15" t="e">
        <f>AND(Sheet1!AL57,"AAAAAF27el4=")</f>
        <v>#VALUE!</v>
      </c>
      <c r="CR15" t="e">
        <f>AND(Sheet1!AM57,"AAAAAF27el8=")</f>
        <v>#VALUE!</v>
      </c>
      <c r="CS15" t="e">
        <f>AND(Sheet1!AN57,"AAAAAF27emA=")</f>
        <v>#VALUE!</v>
      </c>
      <c r="CT15" t="e">
        <f>AND(Sheet1!AO57,"AAAAAF27emE=")</f>
        <v>#VALUE!</v>
      </c>
      <c r="CU15" t="e">
        <f>AND(Sheet1!AP57,"AAAAAF27emI=")</f>
        <v>#VALUE!</v>
      </c>
      <c r="CV15" t="e">
        <f>AND(Sheet1!AQ57,"AAAAAF27emM=")</f>
        <v>#VALUE!</v>
      </c>
      <c r="CW15" t="e">
        <f>AND(Sheet1!AR57,"AAAAAF27emQ=")</f>
        <v>#VALUE!</v>
      </c>
      <c r="CX15" t="e">
        <f>AND(Sheet1!AS57,"AAAAAF27emU=")</f>
        <v>#VALUE!</v>
      </c>
      <c r="CY15" t="e">
        <f>AND(Sheet1!AT57,"AAAAAF27emY=")</f>
        <v>#VALUE!</v>
      </c>
      <c r="CZ15" t="e">
        <f>AND(Sheet1!AU57,"AAAAAF27emc=")</f>
        <v>#VALUE!</v>
      </c>
      <c r="DA15" t="e">
        <f>AND(Sheet1!AV57,"AAAAAF27emg=")</f>
        <v>#VALUE!</v>
      </c>
      <c r="DB15" t="e">
        <f>AND(Sheet1!AW57,"AAAAAF27emk=")</f>
        <v>#VALUE!</v>
      </c>
      <c r="DC15" t="e">
        <f>AND(Sheet1!AX57,"AAAAAF27emo=")</f>
        <v>#VALUE!</v>
      </c>
      <c r="DD15" t="e">
        <f>AND(Sheet1!AY57,"AAAAAF27ems=")</f>
        <v>#VALUE!</v>
      </c>
      <c r="DE15" t="e">
        <f>AND(Sheet1!AZ57,"AAAAAF27emw=")</f>
        <v>#VALUE!</v>
      </c>
      <c r="DF15" t="e">
        <f>AND(Sheet1!BA57,"AAAAAF27em0=")</f>
        <v>#VALUE!</v>
      </c>
      <c r="DG15" t="e">
        <f>AND(Sheet1!BB57,"AAAAAF27em4=")</f>
        <v>#VALUE!</v>
      </c>
      <c r="DH15" t="e">
        <f>AND(Sheet1!BC57,"AAAAAF27em8=")</f>
        <v>#VALUE!</v>
      </c>
      <c r="DI15" t="e">
        <f>AND(Sheet1!BD57,"AAAAAF27enA=")</f>
        <v>#VALUE!</v>
      </c>
      <c r="DJ15" t="e">
        <f>AND(Sheet1!BE57,"AAAAAF27enE=")</f>
        <v>#VALUE!</v>
      </c>
      <c r="DK15" t="e">
        <f>AND(Sheet1!BF57,"AAAAAF27enI=")</f>
        <v>#VALUE!</v>
      </c>
      <c r="DL15" t="e">
        <f>AND(Sheet1!BG57,"AAAAAF27enM=")</f>
        <v>#VALUE!</v>
      </c>
      <c r="DM15" t="e">
        <f>AND(Sheet1!BH57,"AAAAAF27enQ=")</f>
        <v>#VALUE!</v>
      </c>
      <c r="DN15" t="e">
        <f>AND(Sheet1!BI57,"AAAAAF27enU=")</f>
        <v>#VALUE!</v>
      </c>
      <c r="DO15" t="e">
        <f>AND(Sheet1!BJ57,"AAAAAF27enY=")</f>
        <v>#VALUE!</v>
      </c>
      <c r="DP15" t="e">
        <f>AND(Sheet1!BK57,"AAAAAF27enc=")</f>
        <v>#VALUE!</v>
      </c>
      <c r="DQ15" t="e">
        <f>AND(Sheet1!BL57,"AAAAAF27eng=")</f>
        <v>#VALUE!</v>
      </c>
      <c r="DR15">
        <f>IF(Sheet1!58:58,"AAAAAF27enk=",0)</f>
        <v>0</v>
      </c>
      <c r="DS15" t="e">
        <f>AND(Sheet1!A58,"AAAAAF27eno=")</f>
        <v>#VALUE!</v>
      </c>
      <c r="DT15" t="e">
        <f>AND(Sheet1!B58,"AAAAAF27ens=")</f>
        <v>#VALUE!</v>
      </c>
      <c r="DU15" t="e">
        <f>AND(Sheet1!C58,"AAAAAF27enw=")</f>
        <v>#VALUE!</v>
      </c>
      <c r="DV15" t="e">
        <f>AND(Sheet1!D58,"AAAAAF27en0=")</f>
        <v>#VALUE!</v>
      </c>
      <c r="DW15" t="e">
        <f>AND(Sheet1!E58,"AAAAAF27en4=")</f>
        <v>#VALUE!</v>
      </c>
      <c r="DX15" t="e">
        <f>AND(Sheet1!F58,"AAAAAF27en8=")</f>
        <v>#VALUE!</v>
      </c>
      <c r="DY15" t="e">
        <f>AND(Sheet1!G58,"AAAAAF27eoA=")</f>
        <v>#VALUE!</v>
      </c>
      <c r="DZ15" t="e">
        <f>AND(Sheet1!H58,"AAAAAF27eoE=")</f>
        <v>#VALUE!</v>
      </c>
      <c r="EA15" t="e">
        <f>AND(Sheet1!I58,"AAAAAF27eoI=")</f>
        <v>#VALUE!</v>
      </c>
      <c r="EB15" t="e">
        <f>AND(Sheet1!J58,"AAAAAF27eoM=")</f>
        <v>#VALUE!</v>
      </c>
      <c r="EC15" t="e">
        <f>AND(Sheet1!K58,"AAAAAF27eoQ=")</f>
        <v>#VALUE!</v>
      </c>
      <c r="ED15" t="e">
        <f>AND(Sheet1!L58,"AAAAAF27eoU=")</f>
        <v>#VALUE!</v>
      </c>
      <c r="EE15" t="e">
        <f>AND(Sheet1!M58,"AAAAAF27eoY=")</f>
        <v>#VALUE!</v>
      </c>
      <c r="EF15" t="e">
        <f>AND(Sheet1!N58,"AAAAAF27eoc=")</f>
        <v>#VALUE!</v>
      </c>
      <c r="EG15" t="e">
        <f>AND(Sheet1!O58,"AAAAAF27eog=")</f>
        <v>#VALUE!</v>
      </c>
      <c r="EH15" t="e">
        <f>AND(Sheet1!P58,"AAAAAF27eok=")</f>
        <v>#VALUE!</v>
      </c>
      <c r="EI15" t="e">
        <f>AND(Sheet1!Q58,"AAAAAF27eoo=")</f>
        <v>#VALUE!</v>
      </c>
      <c r="EJ15" t="e">
        <f>AND(Sheet1!R58,"AAAAAF27eos=")</f>
        <v>#VALUE!</v>
      </c>
      <c r="EK15" t="e">
        <f>AND(Sheet1!S58,"AAAAAF27eow=")</f>
        <v>#VALUE!</v>
      </c>
      <c r="EL15" t="e">
        <f>AND(Sheet1!T58,"AAAAAF27eo0=")</f>
        <v>#VALUE!</v>
      </c>
      <c r="EM15" t="e">
        <f>AND(Sheet1!U58,"AAAAAF27eo4=")</f>
        <v>#VALUE!</v>
      </c>
      <c r="EN15" t="e">
        <f>AND(Sheet1!V58,"AAAAAF27eo8=")</f>
        <v>#VALUE!</v>
      </c>
      <c r="EO15" t="e">
        <f>AND(Sheet1!W58,"AAAAAF27epA=")</f>
        <v>#VALUE!</v>
      </c>
      <c r="EP15" t="e">
        <f>AND(Sheet1!X58,"AAAAAF27epE=")</f>
        <v>#VALUE!</v>
      </c>
      <c r="EQ15" t="e">
        <f>AND(Sheet1!Y58,"AAAAAF27epI=")</f>
        <v>#VALUE!</v>
      </c>
      <c r="ER15" t="e">
        <f>AND(Sheet1!Z58,"AAAAAF27epM=")</f>
        <v>#VALUE!</v>
      </c>
      <c r="ES15" t="e">
        <f>AND(Sheet1!AA58,"AAAAAF27epQ=")</f>
        <v>#VALUE!</v>
      </c>
      <c r="ET15" t="e">
        <f>AND(Sheet1!AB58,"AAAAAF27epU=")</f>
        <v>#VALUE!</v>
      </c>
      <c r="EU15" t="e">
        <f>AND(Sheet1!AC58,"AAAAAF27epY=")</f>
        <v>#VALUE!</v>
      </c>
      <c r="EV15" t="e">
        <f>AND(Sheet1!AD58,"AAAAAF27epc=")</f>
        <v>#VALUE!</v>
      </c>
      <c r="EW15" t="e">
        <f>AND(Sheet1!AE58,"AAAAAF27epg=")</f>
        <v>#VALUE!</v>
      </c>
      <c r="EX15" t="e">
        <f>AND(Sheet1!AF58,"AAAAAF27epk=")</f>
        <v>#VALUE!</v>
      </c>
      <c r="EY15" t="e">
        <f>AND(Sheet1!AG58,"AAAAAF27epo=")</f>
        <v>#VALUE!</v>
      </c>
      <c r="EZ15" t="e">
        <f>AND(Sheet1!AH58,"AAAAAF27eps=")</f>
        <v>#VALUE!</v>
      </c>
      <c r="FA15" t="e">
        <f>AND(Sheet1!AI58,"AAAAAF27epw=")</f>
        <v>#VALUE!</v>
      </c>
      <c r="FB15" t="e">
        <f>AND(Sheet1!AJ58,"AAAAAF27ep0=")</f>
        <v>#VALUE!</v>
      </c>
      <c r="FC15" t="e">
        <f>AND(Sheet1!AK58,"AAAAAF27ep4=")</f>
        <v>#VALUE!</v>
      </c>
      <c r="FD15" t="e">
        <f>AND(Sheet1!AL58,"AAAAAF27ep8=")</f>
        <v>#VALUE!</v>
      </c>
      <c r="FE15" t="e">
        <f>AND(Sheet1!AM58,"AAAAAF27eqA=")</f>
        <v>#VALUE!</v>
      </c>
      <c r="FF15" t="e">
        <f>AND(Sheet1!AN58,"AAAAAF27eqE=")</f>
        <v>#VALUE!</v>
      </c>
      <c r="FG15" t="e">
        <f>AND(Sheet1!AO58,"AAAAAF27eqI=")</f>
        <v>#VALUE!</v>
      </c>
      <c r="FH15" t="e">
        <f>AND(Sheet1!AP58,"AAAAAF27eqM=")</f>
        <v>#VALUE!</v>
      </c>
      <c r="FI15" t="e">
        <f>AND(Sheet1!AQ58,"AAAAAF27eqQ=")</f>
        <v>#VALUE!</v>
      </c>
      <c r="FJ15" t="e">
        <f>AND(Sheet1!AR58,"AAAAAF27eqU=")</f>
        <v>#VALUE!</v>
      </c>
      <c r="FK15" t="e">
        <f>AND(Sheet1!AS58,"AAAAAF27eqY=")</f>
        <v>#VALUE!</v>
      </c>
      <c r="FL15" t="e">
        <f>AND(Sheet1!AT58,"AAAAAF27eqc=")</f>
        <v>#VALUE!</v>
      </c>
      <c r="FM15" t="e">
        <f>AND(Sheet1!AU58,"AAAAAF27eqg=")</f>
        <v>#VALUE!</v>
      </c>
      <c r="FN15" t="e">
        <f>AND(Sheet1!AV58,"AAAAAF27eqk=")</f>
        <v>#VALUE!</v>
      </c>
      <c r="FO15" t="e">
        <f>AND(Sheet1!AW58,"AAAAAF27eqo=")</f>
        <v>#VALUE!</v>
      </c>
      <c r="FP15" t="e">
        <f>AND(Sheet1!AX58,"AAAAAF27eqs=")</f>
        <v>#VALUE!</v>
      </c>
      <c r="FQ15" t="e">
        <f>AND(Sheet1!AY58,"AAAAAF27eqw=")</f>
        <v>#VALUE!</v>
      </c>
      <c r="FR15" t="e">
        <f>AND(Sheet1!AZ58,"AAAAAF27eq0=")</f>
        <v>#VALUE!</v>
      </c>
      <c r="FS15" t="e">
        <f>AND(Sheet1!BA58,"AAAAAF27eq4=")</f>
        <v>#VALUE!</v>
      </c>
      <c r="FT15" t="e">
        <f>AND(Sheet1!BB58,"AAAAAF27eq8=")</f>
        <v>#VALUE!</v>
      </c>
      <c r="FU15" t="e">
        <f>AND(Sheet1!BC58,"AAAAAF27erA=")</f>
        <v>#VALUE!</v>
      </c>
      <c r="FV15" t="e">
        <f>AND(Sheet1!BD58,"AAAAAF27erE=")</f>
        <v>#VALUE!</v>
      </c>
      <c r="FW15" t="e">
        <f>AND(Sheet1!BE58,"AAAAAF27erI=")</f>
        <v>#VALUE!</v>
      </c>
      <c r="FX15" t="e">
        <f>AND(Sheet1!BF58,"AAAAAF27erM=")</f>
        <v>#VALUE!</v>
      </c>
      <c r="FY15" t="e">
        <f>AND(Sheet1!BG58,"AAAAAF27erQ=")</f>
        <v>#VALUE!</v>
      </c>
      <c r="FZ15" t="e">
        <f>AND(Sheet1!BH58,"AAAAAF27erU=")</f>
        <v>#VALUE!</v>
      </c>
      <c r="GA15" t="e">
        <f>AND(Sheet1!BI58,"AAAAAF27erY=")</f>
        <v>#VALUE!</v>
      </c>
      <c r="GB15" t="e">
        <f>AND(Sheet1!BJ58,"AAAAAF27erc=")</f>
        <v>#VALUE!</v>
      </c>
      <c r="GC15" t="e">
        <f>AND(Sheet1!BK58,"AAAAAF27erg=")</f>
        <v>#VALUE!</v>
      </c>
      <c r="GD15" t="e">
        <f>AND(Sheet1!BL58,"AAAAAF27erk=")</f>
        <v>#VALUE!</v>
      </c>
      <c r="GE15">
        <f>IF(Sheet1!59:59,"AAAAAF27ero=",0)</f>
        <v>0</v>
      </c>
      <c r="GF15" t="e">
        <f>AND(Sheet1!A59,"AAAAAF27ers=")</f>
        <v>#VALUE!</v>
      </c>
      <c r="GG15" t="e">
        <f>AND(Sheet1!B59,"AAAAAF27erw=")</f>
        <v>#VALUE!</v>
      </c>
      <c r="GH15" t="e">
        <f>AND(Sheet1!C59,"AAAAAF27er0=")</f>
        <v>#VALUE!</v>
      </c>
      <c r="GI15" t="e">
        <f>AND(Sheet1!D59,"AAAAAF27er4=")</f>
        <v>#VALUE!</v>
      </c>
      <c r="GJ15" t="e">
        <f>AND(Sheet1!E59,"AAAAAF27er8=")</f>
        <v>#VALUE!</v>
      </c>
      <c r="GK15" t="e">
        <f>AND(Sheet1!F59,"AAAAAF27esA=")</f>
        <v>#VALUE!</v>
      </c>
      <c r="GL15" t="e">
        <f>AND(Sheet1!G59,"AAAAAF27esE=")</f>
        <v>#VALUE!</v>
      </c>
      <c r="GM15" t="e">
        <f>AND(Sheet1!H59,"AAAAAF27esI=")</f>
        <v>#VALUE!</v>
      </c>
      <c r="GN15" t="e">
        <f>AND(Sheet1!I59,"AAAAAF27esM=")</f>
        <v>#VALUE!</v>
      </c>
      <c r="GO15" t="e">
        <f>AND(Sheet1!J59,"AAAAAF27esQ=")</f>
        <v>#VALUE!</v>
      </c>
      <c r="GP15" t="e">
        <f>AND(Sheet1!K59,"AAAAAF27esU=")</f>
        <v>#VALUE!</v>
      </c>
      <c r="GQ15" t="e">
        <f>AND(Sheet1!L59,"AAAAAF27esY=")</f>
        <v>#VALUE!</v>
      </c>
      <c r="GR15" t="e">
        <f>AND(Sheet1!M59,"AAAAAF27esc=")</f>
        <v>#VALUE!</v>
      </c>
      <c r="GS15" t="e">
        <f>AND(Sheet1!N59,"AAAAAF27esg=")</f>
        <v>#VALUE!</v>
      </c>
      <c r="GT15" t="e">
        <f>AND(Sheet1!O59,"AAAAAF27esk=")</f>
        <v>#VALUE!</v>
      </c>
      <c r="GU15" t="e">
        <f>AND(Sheet1!P59,"AAAAAF27eso=")</f>
        <v>#VALUE!</v>
      </c>
      <c r="GV15" t="e">
        <f>AND(Sheet1!Q59,"AAAAAF27ess=")</f>
        <v>#VALUE!</v>
      </c>
      <c r="GW15" t="e">
        <f>AND(Sheet1!R59,"AAAAAF27esw=")</f>
        <v>#VALUE!</v>
      </c>
      <c r="GX15" t="e">
        <f>AND(Sheet1!S59,"AAAAAF27es0=")</f>
        <v>#VALUE!</v>
      </c>
      <c r="GY15" t="e">
        <f>AND(Sheet1!T59,"AAAAAF27es4=")</f>
        <v>#VALUE!</v>
      </c>
      <c r="GZ15" t="e">
        <f>AND(Sheet1!U59,"AAAAAF27es8=")</f>
        <v>#VALUE!</v>
      </c>
      <c r="HA15" t="e">
        <f>AND(Sheet1!V59,"AAAAAF27etA=")</f>
        <v>#VALUE!</v>
      </c>
      <c r="HB15" t="e">
        <f>AND(Sheet1!W59,"AAAAAF27etE=")</f>
        <v>#VALUE!</v>
      </c>
      <c r="HC15" t="e">
        <f>AND(Sheet1!X59,"AAAAAF27etI=")</f>
        <v>#VALUE!</v>
      </c>
      <c r="HD15" t="e">
        <f>AND(Sheet1!Y59,"AAAAAF27etM=")</f>
        <v>#VALUE!</v>
      </c>
      <c r="HE15" t="e">
        <f>AND(Sheet1!Z59,"AAAAAF27etQ=")</f>
        <v>#VALUE!</v>
      </c>
      <c r="HF15" t="e">
        <f>AND(Sheet1!AA59,"AAAAAF27etU=")</f>
        <v>#VALUE!</v>
      </c>
      <c r="HG15" t="e">
        <f>AND(Sheet1!AB59,"AAAAAF27etY=")</f>
        <v>#VALUE!</v>
      </c>
      <c r="HH15" t="e">
        <f>AND(Sheet1!AC59,"AAAAAF27etc=")</f>
        <v>#VALUE!</v>
      </c>
      <c r="HI15" t="e">
        <f>AND(Sheet1!AD59,"AAAAAF27etg=")</f>
        <v>#VALUE!</v>
      </c>
      <c r="HJ15" t="e">
        <f>AND(Sheet1!AE59,"AAAAAF27etk=")</f>
        <v>#VALUE!</v>
      </c>
      <c r="HK15" t="e">
        <f>AND(Sheet1!AF59,"AAAAAF27eto=")</f>
        <v>#VALUE!</v>
      </c>
      <c r="HL15" t="e">
        <f>AND(Sheet1!AG59,"AAAAAF27ets=")</f>
        <v>#VALUE!</v>
      </c>
      <c r="HM15" t="e">
        <f>AND(Sheet1!AH59,"AAAAAF27etw=")</f>
        <v>#VALUE!</v>
      </c>
      <c r="HN15" t="e">
        <f>AND(Sheet1!AI59,"AAAAAF27et0=")</f>
        <v>#VALUE!</v>
      </c>
      <c r="HO15" t="e">
        <f>AND(Sheet1!AJ59,"AAAAAF27et4=")</f>
        <v>#VALUE!</v>
      </c>
      <c r="HP15" t="e">
        <f>AND(Sheet1!AK59,"AAAAAF27et8=")</f>
        <v>#VALUE!</v>
      </c>
      <c r="HQ15" t="e">
        <f>AND(Sheet1!AL59,"AAAAAF27euA=")</f>
        <v>#VALUE!</v>
      </c>
      <c r="HR15" t="e">
        <f>AND(Sheet1!AM59,"AAAAAF27euE=")</f>
        <v>#VALUE!</v>
      </c>
      <c r="HS15" t="e">
        <f>AND(Sheet1!AN59,"AAAAAF27euI=")</f>
        <v>#VALUE!</v>
      </c>
      <c r="HT15" t="e">
        <f>AND(Sheet1!AO59,"AAAAAF27euM=")</f>
        <v>#VALUE!</v>
      </c>
      <c r="HU15" t="e">
        <f>AND(Sheet1!AP59,"AAAAAF27euQ=")</f>
        <v>#VALUE!</v>
      </c>
      <c r="HV15" t="e">
        <f>AND(Sheet1!AQ59,"AAAAAF27euU=")</f>
        <v>#VALUE!</v>
      </c>
      <c r="HW15" t="e">
        <f>AND(Sheet1!AR59,"AAAAAF27euY=")</f>
        <v>#VALUE!</v>
      </c>
      <c r="HX15" t="e">
        <f>AND(Sheet1!AS59,"AAAAAF27euc=")</f>
        <v>#VALUE!</v>
      </c>
      <c r="HY15" t="e">
        <f>AND(Sheet1!AT59,"AAAAAF27eug=")</f>
        <v>#VALUE!</v>
      </c>
      <c r="HZ15" t="e">
        <f>AND(Sheet1!AU59,"AAAAAF27euk=")</f>
        <v>#VALUE!</v>
      </c>
      <c r="IA15" t="e">
        <f>AND(Sheet1!AV59,"AAAAAF27euo=")</f>
        <v>#VALUE!</v>
      </c>
      <c r="IB15" t="e">
        <f>AND(Sheet1!AW59,"AAAAAF27eus=")</f>
        <v>#VALUE!</v>
      </c>
      <c r="IC15" t="e">
        <f>AND(Sheet1!AX59,"AAAAAF27euw=")</f>
        <v>#VALUE!</v>
      </c>
      <c r="ID15" t="e">
        <f>AND(Sheet1!AY59,"AAAAAF27eu0=")</f>
        <v>#VALUE!</v>
      </c>
      <c r="IE15" t="e">
        <f>AND(Sheet1!AZ59,"AAAAAF27eu4=")</f>
        <v>#VALUE!</v>
      </c>
      <c r="IF15" t="e">
        <f>AND(Sheet1!BA59,"AAAAAF27eu8=")</f>
        <v>#VALUE!</v>
      </c>
      <c r="IG15" t="e">
        <f>AND(Sheet1!BB59,"AAAAAF27evA=")</f>
        <v>#VALUE!</v>
      </c>
      <c r="IH15" t="e">
        <f>AND(Sheet1!BC59,"AAAAAF27evE=")</f>
        <v>#VALUE!</v>
      </c>
      <c r="II15" t="e">
        <f>AND(Sheet1!BD59,"AAAAAF27evI=")</f>
        <v>#VALUE!</v>
      </c>
      <c r="IJ15" t="e">
        <f>AND(Sheet1!BE59,"AAAAAF27evM=")</f>
        <v>#VALUE!</v>
      </c>
      <c r="IK15" t="e">
        <f>AND(Sheet1!BF59,"AAAAAF27evQ=")</f>
        <v>#VALUE!</v>
      </c>
      <c r="IL15" t="e">
        <f>AND(Sheet1!BG59,"AAAAAF27evU=")</f>
        <v>#VALUE!</v>
      </c>
      <c r="IM15" t="e">
        <f>AND(Sheet1!BH59,"AAAAAF27evY=")</f>
        <v>#VALUE!</v>
      </c>
      <c r="IN15" t="e">
        <f>AND(Sheet1!BI59,"AAAAAF27evc=")</f>
        <v>#VALUE!</v>
      </c>
      <c r="IO15" t="e">
        <f>AND(Sheet1!BJ59,"AAAAAF27evg=")</f>
        <v>#VALUE!</v>
      </c>
      <c r="IP15" t="e">
        <f>AND(Sheet1!BK59,"AAAAAF27evk=")</f>
        <v>#VALUE!</v>
      </c>
      <c r="IQ15" t="e">
        <f>AND(Sheet1!BL59,"AAAAAF27evo=")</f>
        <v>#VALUE!</v>
      </c>
      <c r="IR15">
        <f>IF(Sheet1!60:60,"AAAAAF27evs=",0)</f>
        <v>0</v>
      </c>
      <c r="IS15" t="e">
        <f>AND(Sheet1!A60,"AAAAAF27evw=")</f>
        <v>#VALUE!</v>
      </c>
      <c r="IT15" t="e">
        <f>AND(Sheet1!B60,"AAAAAF27ev0=")</f>
        <v>#VALUE!</v>
      </c>
      <c r="IU15" t="e">
        <f>AND(Sheet1!C60,"AAAAAF27ev4=")</f>
        <v>#VALUE!</v>
      </c>
      <c r="IV15" t="e">
        <f>AND(Sheet1!D60,"AAAAAF27ev8=")</f>
        <v>#VALUE!</v>
      </c>
    </row>
    <row r="16" spans="1:256" ht="12.75">
      <c r="A16" t="e">
        <f>AND(Sheet1!E60,"AAAAAF3+XgA=")</f>
        <v>#VALUE!</v>
      </c>
      <c r="B16" t="e">
        <f>AND(Sheet1!F60,"AAAAAF3+XgE=")</f>
        <v>#VALUE!</v>
      </c>
      <c r="C16" t="e">
        <f>AND(Sheet1!G60,"AAAAAF3+XgI=")</f>
        <v>#VALUE!</v>
      </c>
      <c r="D16" t="e">
        <f>AND(Sheet1!H60,"AAAAAF3+XgM=")</f>
        <v>#VALUE!</v>
      </c>
      <c r="E16" t="e">
        <f>AND(Sheet1!I60,"AAAAAF3+XgQ=")</f>
        <v>#VALUE!</v>
      </c>
      <c r="F16" t="e">
        <f>AND(Sheet1!J60,"AAAAAF3+XgU=")</f>
        <v>#VALUE!</v>
      </c>
      <c r="G16" t="e">
        <f>AND(Sheet1!K60,"AAAAAF3+XgY=")</f>
        <v>#VALUE!</v>
      </c>
      <c r="H16" t="e">
        <f>AND(Sheet1!L60,"AAAAAF3+Xgc=")</f>
        <v>#VALUE!</v>
      </c>
      <c r="I16" t="e">
        <f>AND(Sheet1!M60,"AAAAAF3+Xgg=")</f>
        <v>#VALUE!</v>
      </c>
      <c r="J16" t="e">
        <f>AND(Sheet1!N60,"AAAAAF3+Xgk=")</f>
        <v>#VALUE!</v>
      </c>
      <c r="K16" t="e">
        <f>AND(Sheet1!O60,"AAAAAF3+Xgo=")</f>
        <v>#VALUE!</v>
      </c>
      <c r="L16" t="e">
        <f>AND(Sheet1!P60,"AAAAAF3+Xgs=")</f>
        <v>#VALUE!</v>
      </c>
      <c r="M16" t="e">
        <f>AND(Sheet1!Q60,"AAAAAF3+Xgw=")</f>
        <v>#VALUE!</v>
      </c>
      <c r="N16" t="e">
        <f>AND(Sheet1!R60,"AAAAAF3+Xg0=")</f>
        <v>#VALUE!</v>
      </c>
      <c r="O16" t="e">
        <f>AND(Sheet1!S60,"AAAAAF3+Xg4=")</f>
        <v>#VALUE!</v>
      </c>
      <c r="P16" t="e">
        <f>AND(Sheet1!T60,"AAAAAF3+Xg8=")</f>
        <v>#VALUE!</v>
      </c>
      <c r="Q16" t="e">
        <f>AND(Sheet1!U60,"AAAAAF3+XhA=")</f>
        <v>#VALUE!</v>
      </c>
      <c r="R16" t="e">
        <f>AND(Sheet1!V60,"AAAAAF3+XhE=")</f>
        <v>#VALUE!</v>
      </c>
      <c r="S16" t="e">
        <f>AND(Sheet1!W60,"AAAAAF3+XhI=")</f>
        <v>#VALUE!</v>
      </c>
      <c r="T16" t="e">
        <f>AND(Sheet1!X60,"AAAAAF3+XhM=")</f>
        <v>#VALUE!</v>
      </c>
      <c r="U16" t="e">
        <f>AND(Sheet1!Y60,"AAAAAF3+XhQ=")</f>
        <v>#VALUE!</v>
      </c>
      <c r="V16" t="e">
        <f>AND(Sheet1!Z60,"AAAAAF3+XhU=")</f>
        <v>#VALUE!</v>
      </c>
      <c r="W16" t="e">
        <f>AND(Sheet1!AA60,"AAAAAF3+XhY=")</f>
        <v>#VALUE!</v>
      </c>
      <c r="X16" t="e">
        <f>AND(Sheet1!AB60,"AAAAAF3+Xhc=")</f>
        <v>#VALUE!</v>
      </c>
      <c r="Y16" t="e">
        <f>AND(Sheet1!AC60,"AAAAAF3+Xhg=")</f>
        <v>#VALUE!</v>
      </c>
      <c r="Z16" t="e">
        <f>AND(Sheet1!AD60,"AAAAAF3+Xhk=")</f>
        <v>#VALUE!</v>
      </c>
      <c r="AA16" t="e">
        <f>AND(Sheet1!AE60,"AAAAAF3+Xho=")</f>
        <v>#VALUE!</v>
      </c>
      <c r="AB16" t="e">
        <f>AND(Sheet1!AF60,"AAAAAF3+Xhs=")</f>
        <v>#VALUE!</v>
      </c>
      <c r="AC16" t="e">
        <f>AND(Sheet1!AG60,"AAAAAF3+Xhw=")</f>
        <v>#VALUE!</v>
      </c>
      <c r="AD16" t="e">
        <f>AND(Sheet1!AH60,"AAAAAF3+Xh0=")</f>
        <v>#VALUE!</v>
      </c>
      <c r="AE16" t="e">
        <f>AND(Sheet1!AI60,"AAAAAF3+Xh4=")</f>
        <v>#VALUE!</v>
      </c>
      <c r="AF16" t="e">
        <f>AND(Sheet1!AJ60,"AAAAAF3+Xh8=")</f>
        <v>#VALUE!</v>
      </c>
      <c r="AG16" t="e">
        <f>AND(Sheet1!AK60,"AAAAAF3+XiA=")</f>
        <v>#VALUE!</v>
      </c>
      <c r="AH16" t="e">
        <f>AND(Sheet1!AL60,"AAAAAF3+XiE=")</f>
        <v>#VALUE!</v>
      </c>
      <c r="AI16" t="e">
        <f>AND(Sheet1!AM60,"AAAAAF3+XiI=")</f>
        <v>#VALUE!</v>
      </c>
      <c r="AJ16" t="e">
        <f>AND(Sheet1!AN60,"AAAAAF3+XiM=")</f>
        <v>#VALUE!</v>
      </c>
      <c r="AK16" t="e">
        <f>AND(Sheet1!AO60,"AAAAAF3+XiQ=")</f>
        <v>#VALUE!</v>
      </c>
      <c r="AL16" t="e">
        <f>AND(Sheet1!AP60,"AAAAAF3+XiU=")</f>
        <v>#VALUE!</v>
      </c>
      <c r="AM16" t="e">
        <f>AND(Sheet1!AQ60,"AAAAAF3+XiY=")</f>
        <v>#VALUE!</v>
      </c>
      <c r="AN16" t="e">
        <f>AND(Sheet1!AR60,"AAAAAF3+Xic=")</f>
        <v>#VALUE!</v>
      </c>
      <c r="AO16" t="e">
        <f>AND(Sheet1!AS60,"AAAAAF3+Xig=")</f>
        <v>#VALUE!</v>
      </c>
      <c r="AP16" t="e">
        <f>AND(Sheet1!AT60,"AAAAAF3+Xik=")</f>
        <v>#VALUE!</v>
      </c>
      <c r="AQ16" t="e">
        <f>AND(Sheet1!AU60,"AAAAAF3+Xio=")</f>
        <v>#VALUE!</v>
      </c>
      <c r="AR16" t="e">
        <f>AND(Sheet1!AV60,"AAAAAF3+Xis=")</f>
        <v>#VALUE!</v>
      </c>
      <c r="AS16" t="e">
        <f>AND(Sheet1!AW60,"AAAAAF3+Xiw=")</f>
        <v>#VALUE!</v>
      </c>
      <c r="AT16" t="e">
        <f>AND(Sheet1!AX60,"AAAAAF3+Xi0=")</f>
        <v>#VALUE!</v>
      </c>
      <c r="AU16" t="e">
        <f>AND(Sheet1!AY60,"AAAAAF3+Xi4=")</f>
        <v>#VALUE!</v>
      </c>
      <c r="AV16" t="e">
        <f>AND(Sheet1!AZ60,"AAAAAF3+Xi8=")</f>
        <v>#VALUE!</v>
      </c>
      <c r="AW16" t="e">
        <f>AND(Sheet1!BA60,"AAAAAF3+XjA=")</f>
        <v>#VALUE!</v>
      </c>
      <c r="AX16" t="e">
        <f>AND(Sheet1!BB60,"AAAAAF3+XjE=")</f>
        <v>#VALUE!</v>
      </c>
      <c r="AY16" t="e">
        <f>AND(Sheet1!BC60,"AAAAAF3+XjI=")</f>
        <v>#VALUE!</v>
      </c>
      <c r="AZ16" t="e">
        <f>AND(Sheet1!BD60,"AAAAAF3+XjM=")</f>
        <v>#VALUE!</v>
      </c>
      <c r="BA16" t="e">
        <f>AND(Sheet1!BE60,"AAAAAF3+XjQ=")</f>
        <v>#VALUE!</v>
      </c>
      <c r="BB16" t="e">
        <f>AND(Sheet1!BF60,"AAAAAF3+XjU=")</f>
        <v>#VALUE!</v>
      </c>
      <c r="BC16" t="e">
        <f>AND(Sheet1!BG60,"AAAAAF3+XjY=")</f>
        <v>#VALUE!</v>
      </c>
      <c r="BD16" t="e">
        <f>AND(Sheet1!BH60,"AAAAAF3+Xjc=")</f>
        <v>#VALUE!</v>
      </c>
      <c r="BE16" t="e">
        <f>AND(Sheet1!BI60,"AAAAAF3+Xjg=")</f>
        <v>#VALUE!</v>
      </c>
      <c r="BF16" t="e">
        <f>AND(Sheet1!BJ60,"AAAAAF3+Xjk=")</f>
        <v>#VALUE!</v>
      </c>
      <c r="BG16" t="e">
        <f>AND(Sheet1!BK60,"AAAAAF3+Xjo=")</f>
        <v>#VALUE!</v>
      </c>
      <c r="BH16" t="e">
        <f>AND(Sheet1!BL60,"AAAAAF3+Xjs=")</f>
        <v>#VALUE!</v>
      </c>
      <c r="BI16">
        <f>IF(Sheet1!61:61,"AAAAAF3+Xjw=",0)</f>
        <v>0</v>
      </c>
      <c r="BJ16" t="e">
        <f>AND(Sheet1!A61,"AAAAAF3+Xj0=")</f>
        <v>#VALUE!</v>
      </c>
      <c r="BK16" t="e">
        <f>AND(Sheet1!B61,"AAAAAF3+Xj4=")</f>
        <v>#VALUE!</v>
      </c>
      <c r="BL16" t="e">
        <f>AND(Sheet1!C61,"AAAAAF3+Xj8=")</f>
        <v>#VALUE!</v>
      </c>
      <c r="BM16" t="e">
        <f>AND(Sheet1!D61,"AAAAAF3+XkA=")</f>
        <v>#VALUE!</v>
      </c>
      <c r="BN16" t="e">
        <f>AND(Sheet1!E61,"AAAAAF3+XkE=")</f>
        <v>#VALUE!</v>
      </c>
      <c r="BO16" t="e">
        <f>AND(Sheet1!F61,"AAAAAF3+XkI=")</f>
        <v>#VALUE!</v>
      </c>
      <c r="BP16" t="e">
        <f>AND(Sheet1!G61,"AAAAAF3+XkM=")</f>
        <v>#VALUE!</v>
      </c>
      <c r="BQ16" t="e">
        <f>AND(Sheet1!H61,"AAAAAF3+XkQ=")</f>
        <v>#VALUE!</v>
      </c>
      <c r="BR16" t="e">
        <f>AND(Sheet1!I61,"AAAAAF3+XkU=")</f>
        <v>#VALUE!</v>
      </c>
      <c r="BS16" t="e">
        <f>AND(Sheet1!J61,"AAAAAF3+XkY=")</f>
        <v>#VALUE!</v>
      </c>
      <c r="BT16" t="e">
        <f>AND(Sheet1!K61,"AAAAAF3+Xkc=")</f>
        <v>#VALUE!</v>
      </c>
      <c r="BU16" t="e">
        <f>AND(Sheet1!L61,"AAAAAF3+Xkg=")</f>
        <v>#VALUE!</v>
      </c>
      <c r="BV16" t="e">
        <f>AND(Sheet1!M61,"AAAAAF3+Xkk=")</f>
        <v>#VALUE!</v>
      </c>
      <c r="BW16" t="e">
        <f>AND(Sheet1!N61,"AAAAAF3+Xko=")</f>
        <v>#VALUE!</v>
      </c>
      <c r="BX16" t="e">
        <f>AND(Sheet1!O61,"AAAAAF3+Xks=")</f>
        <v>#VALUE!</v>
      </c>
      <c r="BY16" t="e">
        <f>AND(Sheet1!P61,"AAAAAF3+Xkw=")</f>
        <v>#VALUE!</v>
      </c>
      <c r="BZ16" t="e">
        <f>AND(Sheet1!Q61,"AAAAAF3+Xk0=")</f>
        <v>#VALUE!</v>
      </c>
      <c r="CA16" t="e">
        <f>AND(Sheet1!R61,"AAAAAF3+Xk4=")</f>
        <v>#VALUE!</v>
      </c>
      <c r="CB16" t="e">
        <f>AND(Sheet1!S61,"AAAAAF3+Xk8=")</f>
        <v>#VALUE!</v>
      </c>
      <c r="CC16" t="e">
        <f>AND(Sheet1!T61,"AAAAAF3+XlA=")</f>
        <v>#VALUE!</v>
      </c>
      <c r="CD16" t="e">
        <f>AND(Sheet1!U61,"AAAAAF3+XlE=")</f>
        <v>#VALUE!</v>
      </c>
      <c r="CE16" t="e">
        <f>AND(Sheet1!V61,"AAAAAF3+XlI=")</f>
        <v>#VALUE!</v>
      </c>
      <c r="CF16" t="e">
        <f>AND(Sheet1!W61,"AAAAAF3+XlM=")</f>
        <v>#VALUE!</v>
      </c>
      <c r="CG16" t="e">
        <f>AND(Sheet1!X61,"AAAAAF3+XlQ=")</f>
        <v>#VALUE!</v>
      </c>
      <c r="CH16" t="e">
        <f>AND(Sheet1!Y61,"AAAAAF3+XlU=")</f>
        <v>#VALUE!</v>
      </c>
      <c r="CI16" t="e">
        <f>AND(Sheet1!Z61,"AAAAAF3+XlY=")</f>
        <v>#VALUE!</v>
      </c>
      <c r="CJ16" t="e">
        <f>AND(Sheet1!AA61,"AAAAAF3+Xlc=")</f>
        <v>#VALUE!</v>
      </c>
      <c r="CK16" t="e">
        <f>AND(Sheet1!AB61,"AAAAAF3+Xlg=")</f>
        <v>#VALUE!</v>
      </c>
      <c r="CL16" t="e">
        <f>AND(Sheet1!AC61,"AAAAAF3+Xlk=")</f>
        <v>#VALUE!</v>
      </c>
      <c r="CM16" t="e">
        <f>AND(Sheet1!AD61,"AAAAAF3+Xlo=")</f>
        <v>#VALUE!</v>
      </c>
      <c r="CN16" t="e">
        <f>AND(Sheet1!AE61,"AAAAAF3+Xls=")</f>
        <v>#VALUE!</v>
      </c>
      <c r="CO16" t="e">
        <f>AND(Sheet1!AF61,"AAAAAF3+Xlw=")</f>
        <v>#VALUE!</v>
      </c>
      <c r="CP16" t="e">
        <f>AND(Sheet1!AG61,"AAAAAF3+Xl0=")</f>
        <v>#VALUE!</v>
      </c>
      <c r="CQ16" t="e">
        <f>AND(Sheet1!AH61,"AAAAAF3+Xl4=")</f>
        <v>#VALUE!</v>
      </c>
      <c r="CR16" t="e">
        <f>AND(Sheet1!AI61,"AAAAAF3+Xl8=")</f>
        <v>#VALUE!</v>
      </c>
      <c r="CS16" t="e">
        <f>AND(Sheet1!AJ61,"AAAAAF3+XmA=")</f>
        <v>#VALUE!</v>
      </c>
      <c r="CT16" t="e">
        <f>AND(Sheet1!AK61,"AAAAAF3+XmE=")</f>
        <v>#VALUE!</v>
      </c>
      <c r="CU16" t="e">
        <f>AND(Sheet1!AL61,"AAAAAF3+XmI=")</f>
        <v>#VALUE!</v>
      </c>
      <c r="CV16" t="e">
        <f>AND(Sheet1!AM61,"AAAAAF3+XmM=")</f>
        <v>#VALUE!</v>
      </c>
      <c r="CW16" t="e">
        <f>AND(Sheet1!AN61,"AAAAAF3+XmQ=")</f>
        <v>#VALUE!</v>
      </c>
      <c r="CX16" t="e">
        <f>AND(Sheet1!AO61,"AAAAAF3+XmU=")</f>
        <v>#VALUE!</v>
      </c>
      <c r="CY16" t="e">
        <f>AND(Sheet1!AP61,"AAAAAF3+XmY=")</f>
        <v>#VALUE!</v>
      </c>
      <c r="CZ16" t="e">
        <f>AND(Sheet1!AQ61,"AAAAAF3+Xmc=")</f>
        <v>#VALUE!</v>
      </c>
      <c r="DA16" t="e">
        <f>AND(Sheet1!AR61,"AAAAAF3+Xmg=")</f>
        <v>#VALUE!</v>
      </c>
      <c r="DB16" t="e">
        <f>AND(Sheet1!AS61,"AAAAAF3+Xmk=")</f>
        <v>#VALUE!</v>
      </c>
      <c r="DC16" t="e">
        <f>AND(Sheet1!AT61,"AAAAAF3+Xmo=")</f>
        <v>#VALUE!</v>
      </c>
      <c r="DD16" t="e">
        <f>AND(Sheet1!AU61,"AAAAAF3+Xms=")</f>
        <v>#VALUE!</v>
      </c>
      <c r="DE16" t="e">
        <f>AND(Sheet1!AV61,"AAAAAF3+Xmw=")</f>
        <v>#VALUE!</v>
      </c>
      <c r="DF16" t="e">
        <f>AND(Sheet1!AW61,"AAAAAF3+Xm0=")</f>
        <v>#VALUE!</v>
      </c>
      <c r="DG16" t="e">
        <f>AND(Sheet1!AX61,"AAAAAF3+Xm4=")</f>
        <v>#VALUE!</v>
      </c>
      <c r="DH16" t="e">
        <f>AND(Sheet1!AY61,"AAAAAF3+Xm8=")</f>
        <v>#VALUE!</v>
      </c>
      <c r="DI16" t="e">
        <f>AND(Sheet1!AZ61,"AAAAAF3+XnA=")</f>
        <v>#VALUE!</v>
      </c>
      <c r="DJ16" t="e">
        <f>AND(Sheet1!BA61,"AAAAAF3+XnE=")</f>
        <v>#VALUE!</v>
      </c>
      <c r="DK16" t="e">
        <f>AND(Sheet1!BB61,"AAAAAF3+XnI=")</f>
        <v>#VALUE!</v>
      </c>
      <c r="DL16" t="e">
        <f>AND(Sheet1!BC61,"AAAAAF3+XnM=")</f>
        <v>#VALUE!</v>
      </c>
      <c r="DM16" t="e">
        <f>AND(Sheet1!BD61,"AAAAAF3+XnQ=")</f>
        <v>#VALUE!</v>
      </c>
      <c r="DN16" t="e">
        <f>AND(Sheet1!BE61,"AAAAAF3+XnU=")</f>
        <v>#VALUE!</v>
      </c>
      <c r="DO16" t="e">
        <f>AND(Sheet1!BF61,"AAAAAF3+XnY=")</f>
        <v>#VALUE!</v>
      </c>
      <c r="DP16" t="e">
        <f>AND(Sheet1!BG61,"AAAAAF3+Xnc=")</f>
        <v>#VALUE!</v>
      </c>
      <c r="DQ16" t="e">
        <f>AND(Sheet1!BH61,"AAAAAF3+Xng=")</f>
        <v>#VALUE!</v>
      </c>
      <c r="DR16" t="e">
        <f>AND(Sheet1!BI61,"AAAAAF3+Xnk=")</f>
        <v>#VALUE!</v>
      </c>
      <c r="DS16" t="e">
        <f>AND(Sheet1!BJ61,"AAAAAF3+Xno=")</f>
        <v>#VALUE!</v>
      </c>
      <c r="DT16" t="e">
        <f>AND(Sheet1!BK61,"AAAAAF3+Xns=")</f>
        <v>#VALUE!</v>
      </c>
      <c r="DU16" t="e">
        <f>AND(Sheet1!BL61,"AAAAAF3+Xnw=")</f>
        <v>#VALUE!</v>
      </c>
      <c r="DV16">
        <f>IF(Sheet1!62:62,"AAAAAF3+Xn0=",0)</f>
        <v>0</v>
      </c>
      <c r="DW16" t="e">
        <f>AND(Sheet1!A62,"AAAAAF3+Xn4=")</f>
        <v>#VALUE!</v>
      </c>
      <c r="DX16" t="e">
        <f>AND(Sheet1!B62,"AAAAAF3+Xn8=")</f>
        <v>#VALUE!</v>
      </c>
      <c r="DY16" t="e">
        <f>AND(Sheet1!C62,"AAAAAF3+XoA=")</f>
        <v>#VALUE!</v>
      </c>
      <c r="DZ16" t="e">
        <f>AND(Sheet1!D62,"AAAAAF3+XoE=")</f>
        <v>#VALUE!</v>
      </c>
      <c r="EA16" t="e">
        <f>AND(Sheet1!E62,"AAAAAF3+XoI=")</f>
        <v>#VALUE!</v>
      </c>
      <c r="EB16" t="e">
        <f>AND(Sheet1!F62,"AAAAAF3+XoM=")</f>
        <v>#VALUE!</v>
      </c>
      <c r="EC16" t="e">
        <f>AND(Sheet1!G62,"AAAAAF3+XoQ=")</f>
        <v>#VALUE!</v>
      </c>
      <c r="ED16" t="e">
        <f>AND(Sheet1!H62,"AAAAAF3+XoU=")</f>
        <v>#VALUE!</v>
      </c>
      <c r="EE16" t="e">
        <f>AND(Sheet1!I62,"AAAAAF3+XoY=")</f>
        <v>#VALUE!</v>
      </c>
      <c r="EF16" t="e">
        <f>AND(Sheet1!J62,"AAAAAF3+Xoc=")</f>
        <v>#VALUE!</v>
      </c>
      <c r="EG16" t="e">
        <f>AND(Sheet1!K62,"AAAAAF3+Xog=")</f>
        <v>#VALUE!</v>
      </c>
      <c r="EH16" t="e">
        <f>AND(Sheet1!L62,"AAAAAF3+Xok=")</f>
        <v>#VALUE!</v>
      </c>
      <c r="EI16" t="e">
        <f>AND(Sheet1!M62,"AAAAAF3+Xoo=")</f>
        <v>#VALUE!</v>
      </c>
      <c r="EJ16" t="e">
        <f>AND(Sheet1!N62,"AAAAAF3+Xos=")</f>
        <v>#VALUE!</v>
      </c>
      <c r="EK16" t="e">
        <f>AND(Sheet1!O62,"AAAAAF3+Xow=")</f>
        <v>#VALUE!</v>
      </c>
      <c r="EL16" t="e">
        <f>AND(Sheet1!P62,"AAAAAF3+Xo0=")</f>
        <v>#VALUE!</v>
      </c>
      <c r="EM16" t="e">
        <f>AND(Sheet1!Q62,"AAAAAF3+Xo4=")</f>
        <v>#VALUE!</v>
      </c>
      <c r="EN16" t="e">
        <f>AND(Sheet1!R62,"AAAAAF3+Xo8=")</f>
        <v>#VALUE!</v>
      </c>
      <c r="EO16" t="e">
        <f>AND(Sheet1!S62,"AAAAAF3+XpA=")</f>
        <v>#VALUE!</v>
      </c>
      <c r="EP16" t="e">
        <f>AND(Sheet1!T62,"AAAAAF3+XpE=")</f>
        <v>#VALUE!</v>
      </c>
      <c r="EQ16" t="e">
        <f>AND(Sheet1!U62,"AAAAAF3+XpI=")</f>
        <v>#VALUE!</v>
      </c>
      <c r="ER16" t="e">
        <f>AND(Sheet1!V62,"AAAAAF3+XpM=")</f>
        <v>#VALUE!</v>
      </c>
      <c r="ES16" t="e">
        <f>AND(Sheet1!W62,"AAAAAF3+XpQ=")</f>
        <v>#VALUE!</v>
      </c>
      <c r="ET16" t="e">
        <f>AND(Sheet1!X62,"AAAAAF3+XpU=")</f>
        <v>#VALUE!</v>
      </c>
      <c r="EU16" t="e">
        <f>AND(Sheet1!Y62,"AAAAAF3+XpY=")</f>
        <v>#VALUE!</v>
      </c>
      <c r="EV16" t="e">
        <f>AND(Sheet1!Z62,"AAAAAF3+Xpc=")</f>
        <v>#VALUE!</v>
      </c>
      <c r="EW16" t="e">
        <f>AND(Sheet1!AA62,"AAAAAF3+Xpg=")</f>
        <v>#VALUE!</v>
      </c>
      <c r="EX16" t="e">
        <f>AND(Sheet1!AB62,"AAAAAF3+Xpk=")</f>
        <v>#VALUE!</v>
      </c>
      <c r="EY16" t="e">
        <f>AND(Sheet1!AC62,"AAAAAF3+Xpo=")</f>
        <v>#VALUE!</v>
      </c>
      <c r="EZ16" t="e">
        <f>AND(Sheet1!AD62,"AAAAAF3+Xps=")</f>
        <v>#VALUE!</v>
      </c>
      <c r="FA16" t="e">
        <f>AND(Sheet1!AE62,"AAAAAF3+Xpw=")</f>
        <v>#VALUE!</v>
      </c>
      <c r="FB16" t="e">
        <f>AND(Sheet1!AF62,"AAAAAF3+Xp0=")</f>
        <v>#VALUE!</v>
      </c>
      <c r="FC16" t="e">
        <f>AND(Sheet1!AG62,"AAAAAF3+Xp4=")</f>
        <v>#VALUE!</v>
      </c>
      <c r="FD16" t="e">
        <f>AND(Sheet1!AH62,"AAAAAF3+Xp8=")</f>
        <v>#VALUE!</v>
      </c>
      <c r="FE16" t="e">
        <f>AND(Sheet1!AI62,"AAAAAF3+XqA=")</f>
        <v>#VALUE!</v>
      </c>
      <c r="FF16" t="e">
        <f>AND(Sheet1!AJ62,"AAAAAF3+XqE=")</f>
        <v>#VALUE!</v>
      </c>
      <c r="FG16" t="e">
        <f>AND(Sheet1!AK62,"AAAAAF3+XqI=")</f>
        <v>#VALUE!</v>
      </c>
      <c r="FH16" t="e">
        <f>AND(Sheet1!AL62,"AAAAAF3+XqM=")</f>
        <v>#VALUE!</v>
      </c>
      <c r="FI16" t="e">
        <f>AND(Sheet1!AM62,"AAAAAF3+XqQ=")</f>
        <v>#VALUE!</v>
      </c>
      <c r="FJ16" t="e">
        <f>AND(Sheet1!AN62,"AAAAAF3+XqU=")</f>
        <v>#VALUE!</v>
      </c>
      <c r="FK16" t="e">
        <f>AND(Sheet1!AO62,"AAAAAF3+XqY=")</f>
        <v>#VALUE!</v>
      </c>
      <c r="FL16" t="e">
        <f>AND(Sheet1!AP62,"AAAAAF3+Xqc=")</f>
        <v>#VALUE!</v>
      </c>
      <c r="FM16" t="e">
        <f>AND(Sheet1!AQ62,"AAAAAF3+Xqg=")</f>
        <v>#VALUE!</v>
      </c>
      <c r="FN16" t="e">
        <f>AND(Sheet1!AR62,"AAAAAF3+Xqk=")</f>
        <v>#VALUE!</v>
      </c>
      <c r="FO16" t="e">
        <f>AND(Sheet1!AS62,"AAAAAF3+Xqo=")</f>
        <v>#VALUE!</v>
      </c>
      <c r="FP16" t="e">
        <f>AND(Sheet1!AT62,"AAAAAF3+Xqs=")</f>
        <v>#VALUE!</v>
      </c>
      <c r="FQ16" t="e">
        <f>AND(Sheet1!AU62,"AAAAAF3+Xqw=")</f>
        <v>#VALUE!</v>
      </c>
      <c r="FR16" t="e">
        <f>AND(Sheet1!AV62,"AAAAAF3+Xq0=")</f>
        <v>#VALUE!</v>
      </c>
      <c r="FS16" t="e">
        <f>AND(Sheet1!AW62,"AAAAAF3+Xq4=")</f>
        <v>#VALUE!</v>
      </c>
      <c r="FT16" t="e">
        <f>AND(Sheet1!AX62,"AAAAAF3+Xq8=")</f>
        <v>#VALUE!</v>
      </c>
      <c r="FU16" t="e">
        <f>AND(Sheet1!AY62,"AAAAAF3+XrA=")</f>
        <v>#VALUE!</v>
      </c>
      <c r="FV16" t="e">
        <f>AND(Sheet1!AZ62,"AAAAAF3+XrE=")</f>
        <v>#VALUE!</v>
      </c>
      <c r="FW16" t="e">
        <f>AND(Sheet1!BA62,"AAAAAF3+XrI=")</f>
        <v>#VALUE!</v>
      </c>
      <c r="FX16" t="e">
        <f>AND(Sheet1!BB62,"AAAAAF3+XrM=")</f>
        <v>#VALUE!</v>
      </c>
      <c r="FY16" t="e">
        <f>AND(Sheet1!BC62,"AAAAAF3+XrQ=")</f>
        <v>#VALUE!</v>
      </c>
      <c r="FZ16" t="e">
        <f>AND(Sheet1!BD62,"AAAAAF3+XrU=")</f>
        <v>#VALUE!</v>
      </c>
      <c r="GA16" t="e">
        <f>AND(Sheet1!BE62,"AAAAAF3+XrY=")</f>
        <v>#VALUE!</v>
      </c>
      <c r="GB16" t="e">
        <f>AND(Sheet1!BF62,"AAAAAF3+Xrc=")</f>
        <v>#VALUE!</v>
      </c>
      <c r="GC16" t="e">
        <f>AND(Sheet1!BG62,"AAAAAF3+Xrg=")</f>
        <v>#VALUE!</v>
      </c>
      <c r="GD16" t="e">
        <f>AND(Sheet1!BH62,"AAAAAF3+Xrk=")</f>
        <v>#VALUE!</v>
      </c>
      <c r="GE16" t="e">
        <f>AND(Sheet1!BI62,"AAAAAF3+Xro=")</f>
        <v>#VALUE!</v>
      </c>
      <c r="GF16" t="e">
        <f>AND(Sheet1!BJ62,"AAAAAF3+Xrs=")</f>
        <v>#VALUE!</v>
      </c>
      <c r="GG16" t="e">
        <f>AND(Sheet1!BK62,"AAAAAF3+Xrw=")</f>
        <v>#VALUE!</v>
      </c>
      <c r="GH16" t="e">
        <f>AND(Sheet1!BL62,"AAAAAF3+Xr0=")</f>
        <v>#VALUE!</v>
      </c>
      <c r="GI16">
        <f>IF(Sheet1!63:63,"AAAAAF3+Xr4=",0)</f>
        <v>0</v>
      </c>
      <c r="GJ16" t="e">
        <f>AND(Sheet1!A63,"AAAAAF3+Xr8=")</f>
        <v>#VALUE!</v>
      </c>
      <c r="GK16" t="e">
        <f>AND(Sheet1!B63,"AAAAAF3+XsA=")</f>
        <v>#VALUE!</v>
      </c>
      <c r="GL16" t="e">
        <f>AND(Sheet1!C63,"AAAAAF3+XsE=")</f>
        <v>#VALUE!</v>
      </c>
      <c r="GM16" t="e">
        <f>AND(Sheet1!D63,"AAAAAF3+XsI=")</f>
        <v>#VALUE!</v>
      </c>
      <c r="GN16" t="e">
        <f>AND(Sheet1!E63,"AAAAAF3+XsM=")</f>
        <v>#VALUE!</v>
      </c>
      <c r="GO16" t="e">
        <f>AND(Sheet1!F63,"AAAAAF3+XsQ=")</f>
        <v>#VALUE!</v>
      </c>
      <c r="GP16" t="e">
        <f>AND(Sheet1!G63,"AAAAAF3+XsU=")</f>
        <v>#VALUE!</v>
      </c>
      <c r="GQ16" t="e">
        <f>AND(Sheet1!H63,"AAAAAF3+XsY=")</f>
        <v>#VALUE!</v>
      </c>
      <c r="GR16" t="e">
        <f>AND(Sheet1!I63,"AAAAAF3+Xsc=")</f>
        <v>#VALUE!</v>
      </c>
      <c r="GS16" t="e">
        <f>AND(Sheet1!J63,"AAAAAF3+Xsg=")</f>
        <v>#VALUE!</v>
      </c>
      <c r="GT16" t="e">
        <f>AND(Sheet1!K63,"AAAAAF3+Xsk=")</f>
        <v>#VALUE!</v>
      </c>
      <c r="GU16" t="e">
        <f>AND(Sheet1!L63,"AAAAAF3+Xso=")</f>
        <v>#VALUE!</v>
      </c>
      <c r="GV16" t="e">
        <f>AND(Sheet1!M63,"AAAAAF3+Xss=")</f>
        <v>#VALUE!</v>
      </c>
      <c r="GW16" t="e">
        <f>AND(Sheet1!N63,"AAAAAF3+Xsw=")</f>
        <v>#VALUE!</v>
      </c>
      <c r="GX16" t="e">
        <f>AND(Sheet1!O63,"AAAAAF3+Xs0=")</f>
        <v>#VALUE!</v>
      </c>
      <c r="GY16" t="e">
        <f>AND(Sheet1!P63,"AAAAAF3+Xs4=")</f>
        <v>#VALUE!</v>
      </c>
      <c r="GZ16" t="e">
        <f>AND(Sheet1!Q63,"AAAAAF3+Xs8=")</f>
        <v>#VALUE!</v>
      </c>
      <c r="HA16" t="e">
        <f>AND(Sheet1!R63,"AAAAAF3+XtA=")</f>
        <v>#VALUE!</v>
      </c>
      <c r="HB16" t="e">
        <f>AND(Sheet1!S63,"AAAAAF3+XtE=")</f>
        <v>#VALUE!</v>
      </c>
      <c r="HC16" t="e">
        <f>AND(Sheet1!T63,"AAAAAF3+XtI=")</f>
        <v>#VALUE!</v>
      </c>
      <c r="HD16" t="e">
        <f>AND(Sheet1!U63,"AAAAAF3+XtM=")</f>
        <v>#VALUE!</v>
      </c>
      <c r="HE16" t="e">
        <f>AND(Sheet1!V63,"AAAAAF3+XtQ=")</f>
        <v>#VALUE!</v>
      </c>
      <c r="HF16" t="e">
        <f>AND(Sheet1!W63,"AAAAAF3+XtU=")</f>
        <v>#VALUE!</v>
      </c>
      <c r="HG16" t="e">
        <f>AND(Sheet1!X63,"AAAAAF3+XtY=")</f>
        <v>#VALUE!</v>
      </c>
      <c r="HH16" t="e">
        <f>AND(Sheet1!Y63,"AAAAAF3+Xtc=")</f>
        <v>#VALUE!</v>
      </c>
      <c r="HI16" t="e">
        <f>AND(Sheet1!Z63,"AAAAAF3+Xtg=")</f>
        <v>#VALUE!</v>
      </c>
      <c r="HJ16" t="e">
        <f>AND(Sheet1!AA63,"AAAAAF3+Xtk=")</f>
        <v>#VALUE!</v>
      </c>
      <c r="HK16" t="e">
        <f>AND(Sheet1!AB63,"AAAAAF3+Xto=")</f>
        <v>#VALUE!</v>
      </c>
      <c r="HL16" t="e">
        <f>AND(Sheet1!AC63,"AAAAAF3+Xts=")</f>
        <v>#VALUE!</v>
      </c>
      <c r="HM16" t="e">
        <f>AND(Sheet1!AD63,"AAAAAF3+Xtw=")</f>
        <v>#VALUE!</v>
      </c>
      <c r="HN16" t="e">
        <f>AND(Sheet1!AE63,"AAAAAF3+Xt0=")</f>
        <v>#VALUE!</v>
      </c>
      <c r="HO16" t="e">
        <f>AND(Sheet1!AF63,"AAAAAF3+Xt4=")</f>
        <v>#VALUE!</v>
      </c>
      <c r="HP16" t="e">
        <f>AND(Sheet1!AG63,"AAAAAF3+Xt8=")</f>
        <v>#VALUE!</v>
      </c>
      <c r="HQ16" t="e">
        <f>AND(Sheet1!AH63,"AAAAAF3+XuA=")</f>
        <v>#VALUE!</v>
      </c>
      <c r="HR16" t="e">
        <f>AND(Sheet1!AI63,"AAAAAF3+XuE=")</f>
        <v>#VALUE!</v>
      </c>
      <c r="HS16" t="e">
        <f>AND(Sheet1!AJ63,"AAAAAF3+XuI=")</f>
        <v>#VALUE!</v>
      </c>
      <c r="HT16" t="e">
        <f>AND(Sheet1!AK63,"AAAAAF3+XuM=")</f>
        <v>#VALUE!</v>
      </c>
      <c r="HU16" t="e">
        <f>AND(Sheet1!AL63,"AAAAAF3+XuQ=")</f>
        <v>#VALUE!</v>
      </c>
      <c r="HV16" t="e">
        <f>AND(Sheet1!AM63,"AAAAAF3+XuU=")</f>
        <v>#VALUE!</v>
      </c>
      <c r="HW16" t="e">
        <f>AND(Sheet1!AN63,"AAAAAF3+XuY=")</f>
        <v>#VALUE!</v>
      </c>
      <c r="HX16" t="e">
        <f>AND(Sheet1!AO63,"AAAAAF3+Xuc=")</f>
        <v>#VALUE!</v>
      </c>
      <c r="HY16" t="e">
        <f>AND(Sheet1!AP63,"AAAAAF3+Xug=")</f>
        <v>#VALUE!</v>
      </c>
      <c r="HZ16" t="e">
        <f>AND(Sheet1!AQ63,"AAAAAF3+Xuk=")</f>
        <v>#VALUE!</v>
      </c>
      <c r="IA16" t="e">
        <f>AND(Sheet1!AR63,"AAAAAF3+Xuo=")</f>
        <v>#VALUE!</v>
      </c>
      <c r="IB16" t="e">
        <f>AND(Sheet1!AS63,"AAAAAF3+Xus=")</f>
        <v>#VALUE!</v>
      </c>
      <c r="IC16" t="e">
        <f>AND(Sheet1!AT63,"AAAAAF3+Xuw=")</f>
        <v>#VALUE!</v>
      </c>
      <c r="ID16" t="e">
        <f>AND(Sheet1!AU63,"AAAAAF3+Xu0=")</f>
        <v>#VALUE!</v>
      </c>
      <c r="IE16" t="e">
        <f>AND(Sheet1!AV63,"AAAAAF3+Xu4=")</f>
        <v>#VALUE!</v>
      </c>
      <c r="IF16" t="e">
        <f>AND(Sheet1!AW63,"AAAAAF3+Xu8=")</f>
        <v>#VALUE!</v>
      </c>
      <c r="IG16" t="e">
        <f>AND(Sheet1!AX63,"AAAAAF3+XvA=")</f>
        <v>#VALUE!</v>
      </c>
      <c r="IH16" t="e">
        <f>AND(Sheet1!AY63,"AAAAAF3+XvE=")</f>
        <v>#VALUE!</v>
      </c>
      <c r="II16" t="e">
        <f>AND(Sheet1!AZ63,"AAAAAF3+XvI=")</f>
        <v>#VALUE!</v>
      </c>
      <c r="IJ16" t="e">
        <f>AND(Sheet1!BA63,"AAAAAF3+XvM=")</f>
        <v>#VALUE!</v>
      </c>
      <c r="IK16" t="e">
        <f>AND(Sheet1!BB63,"AAAAAF3+XvQ=")</f>
        <v>#VALUE!</v>
      </c>
      <c r="IL16" t="e">
        <f>AND(Sheet1!BC63,"AAAAAF3+XvU=")</f>
        <v>#VALUE!</v>
      </c>
      <c r="IM16" t="e">
        <f>AND(Sheet1!BD63,"AAAAAF3+XvY=")</f>
        <v>#VALUE!</v>
      </c>
      <c r="IN16" t="e">
        <f>AND(Sheet1!BE63,"AAAAAF3+Xvc=")</f>
        <v>#VALUE!</v>
      </c>
      <c r="IO16" t="e">
        <f>AND(Sheet1!BF63,"AAAAAF3+Xvg=")</f>
        <v>#VALUE!</v>
      </c>
      <c r="IP16" t="e">
        <f>AND(Sheet1!BG63,"AAAAAF3+Xvk=")</f>
        <v>#VALUE!</v>
      </c>
      <c r="IQ16" t="e">
        <f>AND(Sheet1!BH63,"AAAAAF3+Xvo=")</f>
        <v>#VALUE!</v>
      </c>
      <c r="IR16" t="e">
        <f>AND(Sheet1!BI63,"AAAAAF3+Xvs=")</f>
        <v>#VALUE!</v>
      </c>
      <c r="IS16" t="e">
        <f>AND(Sheet1!BJ63,"AAAAAF3+Xvw=")</f>
        <v>#VALUE!</v>
      </c>
      <c r="IT16" t="e">
        <f>AND(Sheet1!BK63,"AAAAAF3+Xv0=")</f>
        <v>#VALUE!</v>
      </c>
      <c r="IU16" t="e">
        <f>AND(Sheet1!BL63,"AAAAAF3+Xv4=")</f>
        <v>#VALUE!</v>
      </c>
      <c r="IV16">
        <f>IF(Sheet1!64:64,"AAAAAF3+Xv8=",0)</f>
        <v>0</v>
      </c>
    </row>
    <row r="17" spans="1:256" ht="12.75">
      <c r="A17" t="e">
        <f>AND(Sheet1!A64,"AAAAAHL79QA=")</f>
        <v>#VALUE!</v>
      </c>
      <c r="B17" t="e">
        <f>AND(Sheet1!B64,"AAAAAHL79QE=")</f>
        <v>#VALUE!</v>
      </c>
      <c r="C17" t="e">
        <f>AND(Sheet1!C64,"AAAAAHL79QI=")</f>
        <v>#VALUE!</v>
      </c>
      <c r="D17" t="e">
        <f>AND(Sheet1!D64,"AAAAAHL79QM=")</f>
        <v>#VALUE!</v>
      </c>
      <c r="E17" t="e">
        <f>AND(Sheet1!E64,"AAAAAHL79QQ=")</f>
        <v>#VALUE!</v>
      </c>
      <c r="F17" t="e">
        <f>AND(Sheet1!F64,"AAAAAHL79QU=")</f>
        <v>#VALUE!</v>
      </c>
      <c r="G17" t="e">
        <f>AND(Sheet1!G64,"AAAAAHL79QY=")</f>
        <v>#VALUE!</v>
      </c>
      <c r="H17" t="e">
        <f>AND(Sheet1!H64,"AAAAAHL79Qc=")</f>
        <v>#VALUE!</v>
      </c>
      <c r="I17" t="e">
        <f>AND(Sheet1!I64,"AAAAAHL79Qg=")</f>
        <v>#VALUE!</v>
      </c>
      <c r="J17" t="e">
        <f>AND(Sheet1!J64,"AAAAAHL79Qk=")</f>
        <v>#VALUE!</v>
      </c>
      <c r="K17" t="e">
        <f>AND(Sheet1!K64,"AAAAAHL79Qo=")</f>
        <v>#VALUE!</v>
      </c>
      <c r="L17" t="e">
        <f>AND(Sheet1!L64,"AAAAAHL79Qs=")</f>
        <v>#VALUE!</v>
      </c>
      <c r="M17" t="e">
        <f>AND(Sheet1!M64,"AAAAAHL79Qw=")</f>
        <v>#VALUE!</v>
      </c>
      <c r="N17" t="e">
        <f>AND(Sheet1!N64,"AAAAAHL79Q0=")</f>
        <v>#VALUE!</v>
      </c>
      <c r="O17" t="e">
        <f>AND(Sheet1!O64,"AAAAAHL79Q4=")</f>
        <v>#VALUE!</v>
      </c>
      <c r="P17" t="e">
        <f>AND(Sheet1!P64,"AAAAAHL79Q8=")</f>
        <v>#VALUE!</v>
      </c>
      <c r="Q17" t="e">
        <f>AND(Sheet1!Q64,"AAAAAHL79RA=")</f>
        <v>#VALUE!</v>
      </c>
      <c r="R17" t="e">
        <f>AND(Sheet1!R64,"AAAAAHL79RE=")</f>
        <v>#VALUE!</v>
      </c>
      <c r="S17" t="e">
        <f>AND(Sheet1!S64,"AAAAAHL79RI=")</f>
        <v>#VALUE!</v>
      </c>
      <c r="T17" t="e">
        <f>AND(Sheet1!T64,"AAAAAHL79RM=")</f>
        <v>#VALUE!</v>
      </c>
      <c r="U17" t="e">
        <f>AND(Sheet1!U64,"AAAAAHL79RQ=")</f>
        <v>#VALUE!</v>
      </c>
      <c r="V17" t="e">
        <f>AND(Sheet1!V64,"AAAAAHL79RU=")</f>
        <v>#VALUE!</v>
      </c>
      <c r="W17" t="e">
        <f>AND(Sheet1!W64,"AAAAAHL79RY=")</f>
        <v>#VALUE!</v>
      </c>
      <c r="X17" t="e">
        <f>AND(Sheet1!X64,"AAAAAHL79Rc=")</f>
        <v>#VALUE!</v>
      </c>
      <c r="Y17" t="e">
        <f>AND(Sheet1!Y64,"AAAAAHL79Rg=")</f>
        <v>#VALUE!</v>
      </c>
      <c r="Z17" t="e">
        <f>AND(Sheet1!Z64,"AAAAAHL79Rk=")</f>
        <v>#VALUE!</v>
      </c>
      <c r="AA17" t="e">
        <f>AND(Sheet1!AA64,"AAAAAHL79Ro=")</f>
        <v>#VALUE!</v>
      </c>
      <c r="AB17" t="e">
        <f>AND(Sheet1!AB64,"AAAAAHL79Rs=")</f>
        <v>#VALUE!</v>
      </c>
      <c r="AC17" t="e">
        <f>AND(Sheet1!AC64,"AAAAAHL79Rw=")</f>
        <v>#VALUE!</v>
      </c>
      <c r="AD17" t="e">
        <f>AND(Sheet1!AD64,"AAAAAHL79R0=")</f>
        <v>#VALUE!</v>
      </c>
      <c r="AE17" t="e">
        <f>AND(Sheet1!AE64,"AAAAAHL79R4=")</f>
        <v>#VALUE!</v>
      </c>
      <c r="AF17" t="e">
        <f>AND(Sheet1!AF64,"AAAAAHL79R8=")</f>
        <v>#VALUE!</v>
      </c>
      <c r="AG17" t="e">
        <f>AND(Sheet1!AG64,"AAAAAHL79SA=")</f>
        <v>#VALUE!</v>
      </c>
      <c r="AH17" t="e">
        <f>AND(Sheet1!AH64,"AAAAAHL79SE=")</f>
        <v>#VALUE!</v>
      </c>
      <c r="AI17" t="e">
        <f>AND(Sheet1!AI64,"AAAAAHL79SI=")</f>
        <v>#VALUE!</v>
      </c>
      <c r="AJ17" t="e">
        <f>AND(Sheet1!AJ64,"AAAAAHL79SM=")</f>
        <v>#VALUE!</v>
      </c>
      <c r="AK17" t="e">
        <f>AND(Sheet1!AK64,"AAAAAHL79SQ=")</f>
        <v>#VALUE!</v>
      </c>
      <c r="AL17" t="e">
        <f>AND(Sheet1!AL64,"AAAAAHL79SU=")</f>
        <v>#VALUE!</v>
      </c>
      <c r="AM17" t="e">
        <f>AND(Sheet1!AM64,"AAAAAHL79SY=")</f>
        <v>#VALUE!</v>
      </c>
      <c r="AN17" t="e">
        <f>AND(Sheet1!AN64,"AAAAAHL79Sc=")</f>
        <v>#VALUE!</v>
      </c>
      <c r="AO17" t="e">
        <f>AND(Sheet1!AO64,"AAAAAHL79Sg=")</f>
        <v>#VALUE!</v>
      </c>
      <c r="AP17" t="e">
        <f>AND(Sheet1!AP64,"AAAAAHL79Sk=")</f>
        <v>#VALUE!</v>
      </c>
      <c r="AQ17" t="e">
        <f>AND(Sheet1!AQ64,"AAAAAHL79So=")</f>
        <v>#VALUE!</v>
      </c>
      <c r="AR17" t="e">
        <f>AND(Sheet1!AR64,"AAAAAHL79Ss=")</f>
        <v>#VALUE!</v>
      </c>
      <c r="AS17" t="e">
        <f>AND(Sheet1!AS64,"AAAAAHL79Sw=")</f>
        <v>#VALUE!</v>
      </c>
      <c r="AT17" t="e">
        <f>AND(Sheet1!AT64,"AAAAAHL79S0=")</f>
        <v>#VALUE!</v>
      </c>
      <c r="AU17" t="e">
        <f>AND(Sheet1!AU64,"AAAAAHL79S4=")</f>
        <v>#VALUE!</v>
      </c>
      <c r="AV17" t="e">
        <f>AND(Sheet1!AV64,"AAAAAHL79S8=")</f>
        <v>#VALUE!</v>
      </c>
      <c r="AW17" t="e">
        <f>AND(Sheet1!AW64,"AAAAAHL79TA=")</f>
        <v>#VALUE!</v>
      </c>
      <c r="AX17" t="e">
        <f>AND(Sheet1!AX64,"AAAAAHL79TE=")</f>
        <v>#VALUE!</v>
      </c>
      <c r="AY17" t="e">
        <f>AND(Sheet1!AY64,"AAAAAHL79TI=")</f>
        <v>#VALUE!</v>
      </c>
      <c r="AZ17" t="e">
        <f>AND(Sheet1!AZ64,"AAAAAHL79TM=")</f>
        <v>#VALUE!</v>
      </c>
      <c r="BA17" t="e">
        <f>AND(Sheet1!BA64,"AAAAAHL79TQ=")</f>
        <v>#VALUE!</v>
      </c>
      <c r="BB17" t="e">
        <f>AND(Sheet1!BB64,"AAAAAHL79TU=")</f>
        <v>#VALUE!</v>
      </c>
      <c r="BC17" t="e">
        <f>AND(Sheet1!BC64,"AAAAAHL79TY=")</f>
        <v>#VALUE!</v>
      </c>
      <c r="BD17" t="e">
        <f>AND(Sheet1!BD64,"AAAAAHL79Tc=")</f>
        <v>#VALUE!</v>
      </c>
      <c r="BE17" t="e">
        <f>AND(Sheet1!BE64,"AAAAAHL79Tg=")</f>
        <v>#VALUE!</v>
      </c>
      <c r="BF17" t="e">
        <f>AND(Sheet1!BF64,"AAAAAHL79Tk=")</f>
        <v>#VALUE!</v>
      </c>
      <c r="BG17" t="e">
        <f>AND(Sheet1!BG64,"AAAAAHL79To=")</f>
        <v>#VALUE!</v>
      </c>
      <c r="BH17" t="e">
        <f>AND(Sheet1!BH64,"AAAAAHL79Ts=")</f>
        <v>#VALUE!</v>
      </c>
      <c r="BI17" t="e">
        <f>AND(Sheet1!BI64,"AAAAAHL79Tw=")</f>
        <v>#VALUE!</v>
      </c>
      <c r="BJ17" t="e">
        <f>AND(Sheet1!BJ64,"AAAAAHL79T0=")</f>
        <v>#VALUE!</v>
      </c>
      <c r="BK17" t="e">
        <f>AND(Sheet1!BK64,"AAAAAHL79T4=")</f>
        <v>#VALUE!</v>
      </c>
      <c r="BL17" t="e">
        <f>AND(Sheet1!BL64,"AAAAAHL79T8=")</f>
        <v>#VALUE!</v>
      </c>
      <c r="BM17">
        <f>IF(Sheet1!65:65,"AAAAAHL79UA=",0)</f>
        <v>0</v>
      </c>
      <c r="BN17" t="e">
        <f>AND(Sheet1!A65,"AAAAAHL79UE=")</f>
        <v>#VALUE!</v>
      </c>
      <c r="BO17" t="e">
        <f>AND(Sheet1!B65,"AAAAAHL79UI=")</f>
        <v>#VALUE!</v>
      </c>
      <c r="BP17" t="e">
        <f>AND(Sheet1!C65,"AAAAAHL79UM=")</f>
        <v>#VALUE!</v>
      </c>
      <c r="BQ17" t="e">
        <f>AND(Sheet1!D65,"AAAAAHL79UQ=")</f>
        <v>#VALUE!</v>
      </c>
      <c r="BR17" t="e">
        <f>AND(Sheet1!E65,"AAAAAHL79UU=")</f>
        <v>#VALUE!</v>
      </c>
      <c r="BS17" t="e">
        <f>AND(Sheet1!F65,"AAAAAHL79UY=")</f>
        <v>#VALUE!</v>
      </c>
      <c r="BT17" t="e">
        <f>AND(Sheet1!G65,"AAAAAHL79Uc=")</f>
        <v>#VALUE!</v>
      </c>
      <c r="BU17" t="e">
        <f>AND(Sheet1!H65,"AAAAAHL79Ug=")</f>
        <v>#VALUE!</v>
      </c>
      <c r="BV17" t="e">
        <f>AND(Sheet1!I65,"AAAAAHL79Uk=")</f>
        <v>#VALUE!</v>
      </c>
      <c r="BW17" t="e">
        <f>AND(Sheet1!J65,"AAAAAHL79Uo=")</f>
        <v>#VALUE!</v>
      </c>
      <c r="BX17" t="e">
        <f>AND(Sheet1!K65,"AAAAAHL79Us=")</f>
        <v>#VALUE!</v>
      </c>
      <c r="BY17" t="e">
        <f>AND(Sheet1!L65,"AAAAAHL79Uw=")</f>
        <v>#VALUE!</v>
      </c>
      <c r="BZ17" t="e">
        <f>AND(Sheet1!M65,"AAAAAHL79U0=")</f>
        <v>#VALUE!</v>
      </c>
      <c r="CA17" t="e">
        <f>AND(Sheet1!N65,"AAAAAHL79U4=")</f>
        <v>#VALUE!</v>
      </c>
      <c r="CB17" t="e">
        <f>AND(Sheet1!O65,"AAAAAHL79U8=")</f>
        <v>#VALUE!</v>
      </c>
      <c r="CC17" t="e">
        <f>AND(Sheet1!P65,"AAAAAHL79VA=")</f>
        <v>#VALUE!</v>
      </c>
      <c r="CD17" t="e">
        <f>AND(Sheet1!Q65,"AAAAAHL79VE=")</f>
        <v>#VALUE!</v>
      </c>
      <c r="CE17" t="e">
        <f>AND(Sheet1!R65,"AAAAAHL79VI=")</f>
        <v>#VALUE!</v>
      </c>
      <c r="CF17" t="e">
        <f>AND(Sheet1!S65,"AAAAAHL79VM=")</f>
        <v>#VALUE!</v>
      </c>
      <c r="CG17" t="e">
        <f>AND(Sheet1!T65,"AAAAAHL79VQ=")</f>
        <v>#VALUE!</v>
      </c>
      <c r="CH17" t="e">
        <f>AND(Sheet1!U65,"AAAAAHL79VU=")</f>
        <v>#VALUE!</v>
      </c>
      <c r="CI17" t="e">
        <f>AND(Sheet1!V65,"AAAAAHL79VY=")</f>
        <v>#VALUE!</v>
      </c>
      <c r="CJ17" t="e">
        <f>AND(Sheet1!W65,"AAAAAHL79Vc=")</f>
        <v>#VALUE!</v>
      </c>
      <c r="CK17" t="e">
        <f>AND(Sheet1!X65,"AAAAAHL79Vg=")</f>
        <v>#VALUE!</v>
      </c>
      <c r="CL17" t="e">
        <f>AND(Sheet1!Y65,"AAAAAHL79Vk=")</f>
        <v>#VALUE!</v>
      </c>
      <c r="CM17" t="e">
        <f>AND(Sheet1!Z65,"AAAAAHL79Vo=")</f>
        <v>#VALUE!</v>
      </c>
      <c r="CN17" t="e">
        <f>AND(Sheet1!AA65,"AAAAAHL79Vs=")</f>
        <v>#VALUE!</v>
      </c>
      <c r="CO17" t="e">
        <f>AND(Sheet1!AB65,"AAAAAHL79Vw=")</f>
        <v>#VALUE!</v>
      </c>
      <c r="CP17" t="e">
        <f>AND(Sheet1!AC65,"AAAAAHL79V0=")</f>
        <v>#VALUE!</v>
      </c>
      <c r="CQ17" t="e">
        <f>AND(Sheet1!AD65,"AAAAAHL79V4=")</f>
        <v>#VALUE!</v>
      </c>
      <c r="CR17" t="e">
        <f>AND(Sheet1!AE65,"AAAAAHL79V8=")</f>
        <v>#VALUE!</v>
      </c>
      <c r="CS17" t="e">
        <f>AND(Sheet1!AF65,"AAAAAHL79WA=")</f>
        <v>#VALUE!</v>
      </c>
      <c r="CT17" t="e">
        <f>AND(Sheet1!AG65,"AAAAAHL79WE=")</f>
        <v>#VALUE!</v>
      </c>
      <c r="CU17" t="e">
        <f>AND(Sheet1!AH65,"AAAAAHL79WI=")</f>
        <v>#VALUE!</v>
      </c>
      <c r="CV17" t="e">
        <f>AND(Sheet1!AI65,"AAAAAHL79WM=")</f>
        <v>#VALUE!</v>
      </c>
      <c r="CW17" t="e">
        <f>AND(Sheet1!AJ65,"AAAAAHL79WQ=")</f>
        <v>#VALUE!</v>
      </c>
      <c r="CX17" t="e">
        <f>AND(Sheet1!AK65,"AAAAAHL79WU=")</f>
        <v>#VALUE!</v>
      </c>
      <c r="CY17" t="e">
        <f>AND(Sheet1!AL65,"AAAAAHL79WY=")</f>
        <v>#VALUE!</v>
      </c>
      <c r="CZ17" t="e">
        <f>AND(Sheet1!AM65,"AAAAAHL79Wc=")</f>
        <v>#VALUE!</v>
      </c>
      <c r="DA17" t="e">
        <f>AND(Sheet1!AN65,"AAAAAHL79Wg=")</f>
        <v>#VALUE!</v>
      </c>
      <c r="DB17" t="e">
        <f>AND(Sheet1!AO65,"AAAAAHL79Wk=")</f>
        <v>#VALUE!</v>
      </c>
      <c r="DC17" t="e">
        <f>AND(Sheet1!AP65,"AAAAAHL79Wo=")</f>
        <v>#VALUE!</v>
      </c>
      <c r="DD17" t="e">
        <f>AND(Sheet1!AQ65,"AAAAAHL79Ws=")</f>
        <v>#VALUE!</v>
      </c>
      <c r="DE17" t="e">
        <f>AND(Sheet1!AR65,"AAAAAHL79Ww=")</f>
        <v>#VALUE!</v>
      </c>
      <c r="DF17" t="e">
        <f>AND(Sheet1!AS65,"AAAAAHL79W0=")</f>
        <v>#VALUE!</v>
      </c>
      <c r="DG17" t="e">
        <f>AND(Sheet1!AT65,"AAAAAHL79W4=")</f>
        <v>#VALUE!</v>
      </c>
      <c r="DH17" t="e">
        <f>AND(Sheet1!AU65,"AAAAAHL79W8=")</f>
        <v>#VALUE!</v>
      </c>
      <c r="DI17" t="e">
        <f>AND(Sheet1!AV65,"AAAAAHL79XA=")</f>
        <v>#VALUE!</v>
      </c>
      <c r="DJ17" t="e">
        <f>AND(Sheet1!AW65,"AAAAAHL79XE=")</f>
        <v>#VALUE!</v>
      </c>
      <c r="DK17" t="e">
        <f>AND(Sheet1!AX65,"AAAAAHL79XI=")</f>
        <v>#VALUE!</v>
      </c>
      <c r="DL17" t="e">
        <f>AND(Sheet1!AY65,"AAAAAHL79XM=")</f>
        <v>#VALUE!</v>
      </c>
      <c r="DM17" t="e">
        <f>AND(Sheet1!AZ65,"AAAAAHL79XQ=")</f>
        <v>#VALUE!</v>
      </c>
      <c r="DN17" t="e">
        <f>AND(Sheet1!BA65,"AAAAAHL79XU=")</f>
        <v>#VALUE!</v>
      </c>
      <c r="DO17" t="e">
        <f>AND(Sheet1!BB65,"AAAAAHL79XY=")</f>
        <v>#VALUE!</v>
      </c>
      <c r="DP17" t="e">
        <f>AND(Sheet1!BC65,"AAAAAHL79Xc=")</f>
        <v>#VALUE!</v>
      </c>
      <c r="DQ17" t="e">
        <f>AND(Sheet1!BD65,"AAAAAHL79Xg=")</f>
        <v>#VALUE!</v>
      </c>
      <c r="DR17" t="e">
        <f>AND(Sheet1!BE65,"AAAAAHL79Xk=")</f>
        <v>#VALUE!</v>
      </c>
      <c r="DS17" t="e">
        <f>AND(Sheet1!BF65,"AAAAAHL79Xo=")</f>
        <v>#VALUE!</v>
      </c>
      <c r="DT17" t="e">
        <f>AND(Sheet1!BG65,"AAAAAHL79Xs=")</f>
        <v>#VALUE!</v>
      </c>
      <c r="DU17" t="e">
        <f>AND(Sheet1!BH65,"AAAAAHL79Xw=")</f>
        <v>#VALUE!</v>
      </c>
      <c r="DV17" t="e">
        <f>AND(Sheet1!BI65,"AAAAAHL79X0=")</f>
        <v>#VALUE!</v>
      </c>
      <c r="DW17" t="e">
        <f>AND(Sheet1!BJ65,"AAAAAHL79X4=")</f>
        <v>#VALUE!</v>
      </c>
      <c r="DX17" t="e">
        <f>AND(Sheet1!BK65,"AAAAAHL79X8=")</f>
        <v>#VALUE!</v>
      </c>
      <c r="DY17" t="e">
        <f>AND(Sheet1!BL65,"AAAAAHL79YA=")</f>
        <v>#VALUE!</v>
      </c>
      <c r="DZ17">
        <f>IF(Sheet1!66:66,"AAAAAHL79YE=",0)</f>
        <v>0</v>
      </c>
      <c r="EA17" t="e">
        <f>AND(Sheet1!A66,"AAAAAHL79YI=")</f>
        <v>#VALUE!</v>
      </c>
      <c r="EB17" t="e">
        <f>AND(Sheet1!B66,"AAAAAHL79YM=")</f>
        <v>#VALUE!</v>
      </c>
      <c r="EC17" t="e">
        <f>AND(Sheet1!C66,"AAAAAHL79YQ=")</f>
        <v>#VALUE!</v>
      </c>
      <c r="ED17" t="e">
        <f>AND(Sheet1!D66,"AAAAAHL79YU=")</f>
        <v>#VALUE!</v>
      </c>
      <c r="EE17" t="e">
        <f>AND(Sheet1!E66,"AAAAAHL79YY=")</f>
        <v>#VALUE!</v>
      </c>
      <c r="EF17" t="e">
        <f>AND(Sheet1!F66,"AAAAAHL79Yc=")</f>
        <v>#VALUE!</v>
      </c>
      <c r="EG17" t="e">
        <f>AND(Sheet1!G66,"AAAAAHL79Yg=")</f>
        <v>#VALUE!</v>
      </c>
      <c r="EH17" t="e">
        <f>AND(Sheet1!H66,"AAAAAHL79Yk=")</f>
        <v>#VALUE!</v>
      </c>
      <c r="EI17" t="e">
        <f>AND(Sheet1!I66,"AAAAAHL79Yo=")</f>
        <v>#VALUE!</v>
      </c>
      <c r="EJ17" t="e">
        <f>AND(Sheet1!J66,"AAAAAHL79Ys=")</f>
        <v>#VALUE!</v>
      </c>
      <c r="EK17" t="e">
        <f>AND(Sheet1!K66,"AAAAAHL79Yw=")</f>
        <v>#VALUE!</v>
      </c>
      <c r="EL17" t="e">
        <f>AND(Sheet1!L66,"AAAAAHL79Y0=")</f>
        <v>#VALUE!</v>
      </c>
      <c r="EM17" t="e">
        <f>AND(Sheet1!M66,"AAAAAHL79Y4=")</f>
        <v>#VALUE!</v>
      </c>
      <c r="EN17" t="e">
        <f>AND(Sheet1!N66,"AAAAAHL79Y8=")</f>
        <v>#VALUE!</v>
      </c>
      <c r="EO17" t="e">
        <f>AND(Sheet1!O66,"AAAAAHL79ZA=")</f>
        <v>#VALUE!</v>
      </c>
      <c r="EP17" t="e">
        <f>AND(Sheet1!P66,"AAAAAHL79ZE=")</f>
        <v>#VALUE!</v>
      </c>
      <c r="EQ17" t="e">
        <f>AND(Sheet1!Q66,"AAAAAHL79ZI=")</f>
        <v>#VALUE!</v>
      </c>
      <c r="ER17" t="e">
        <f>AND(Sheet1!R66,"AAAAAHL79ZM=")</f>
        <v>#VALUE!</v>
      </c>
      <c r="ES17" t="e">
        <f>AND(Sheet1!S66,"AAAAAHL79ZQ=")</f>
        <v>#VALUE!</v>
      </c>
      <c r="ET17" t="e">
        <f>AND(Sheet1!T66,"AAAAAHL79ZU=")</f>
        <v>#VALUE!</v>
      </c>
      <c r="EU17" t="e">
        <f>AND(Sheet1!U66,"AAAAAHL79ZY=")</f>
        <v>#VALUE!</v>
      </c>
      <c r="EV17" t="e">
        <f>AND(Sheet1!V66,"AAAAAHL79Zc=")</f>
        <v>#VALUE!</v>
      </c>
      <c r="EW17" t="e">
        <f>AND(Sheet1!W66,"AAAAAHL79Zg=")</f>
        <v>#VALUE!</v>
      </c>
      <c r="EX17" t="e">
        <f>AND(Sheet1!X66,"AAAAAHL79Zk=")</f>
        <v>#VALUE!</v>
      </c>
      <c r="EY17" t="e">
        <f>AND(Sheet1!Y66,"AAAAAHL79Zo=")</f>
        <v>#VALUE!</v>
      </c>
      <c r="EZ17" t="e">
        <f>AND(Sheet1!Z66,"AAAAAHL79Zs=")</f>
        <v>#VALUE!</v>
      </c>
      <c r="FA17" t="e">
        <f>AND(Sheet1!AA66,"AAAAAHL79Zw=")</f>
        <v>#VALUE!</v>
      </c>
      <c r="FB17" t="e">
        <f>AND(Sheet1!AB66,"AAAAAHL79Z0=")</f>
        <v>#VALUE!</v>
      </c>
      <c r="FC17" t="e">
        <f>AND(Sheet1!AC66,"AAAAAHL79Z4=")</f>
        <v>#VALUE!</v>
      </c>
      <c r="FD17" t="e">
        <f>AND(Sheet1!AD66,"AAAAAHL79Z8=")</f>
        <v>#VALUE!</v>
      </c>
      <c r="FE17" t="e">
        <f>AND(Sheet1!AE66,"AAAAAHL79aA=")</f>
        <v>#VALUE!</v>
      </c>
      <c r="FF17" t="e">
        <f>AND(Sheet1!AF66,"AAAAAHL79aE=")</f>
        <v>#VALUE!</v>
      </c>
      <c r="FG17" t="e">
        <f>AND(Sheet1!AG66,"AAAAAHL79aI=")</f>
        <v>#VALUE!</v>
      </c>
      <c r="FH17" t="e">
        <f>AND(Sheet1!AH66,"AAAAAHL79aM=")</f>
        <v>#VALUE!</v>
      </c>
      <c r="FI17" t="e">
        <f>AND(Sheet1!AI66,"AAAAAHL79aQ=")</f>
        <v>#VALUE!</v>
      </c>
      <c r="FJ17" t="e">
        <f>AND(Sheet1!AJ66,"AAAAAHL79aU=")</f>
        <v>#VALUE!</v>
      </c>
      <c r="FK17" t="e">
        <f>AND(Sheet1!AK66,"AAAAAHL79aY=")</f>
        <v>#VALUE!</v>
      </c>
      <c r="FL17" t="e">
        <f>AND(Sheet1!AL66,"AAAAAHL79ac=")</f>
        <v>#VALUE!</v>
      </c>
      <c r="FM17" t="e">
        <f>AND(Sheet1!AM66,"AAAAAHL79ag=")</f>
        <v>#VALUE!</v>
      </c>
      <c r="FN17" t="e">
        <f>AND(Sheet1!AN66,"AAAAAHL79ak=")</f>
        <v>#VALUE!</v>
      </c>
      <c r="FO17" t="e">
        <f>AND(Sheet1!AO66,"AAAAAHL79ao=")</f>
        <v>#VALUE!</v>
      </c>
      <c r="FP17" t="e">
        <f>AND(Sheet1!AP66,"AAAAAHL79as=")</f>
        <v>#VALUE!</v>
      </c>
      <c r="FQ17" t="e">
        <f>AND(Sheet1!AQ66,"AAAAAHL79aw=")</f>
        <v>#VALUE!</v>
      </c>
      <c r="FR17" t="e">
        <f>AND(Sheet1!AR66,"AAAAAHL79a0=")</f>
        <v>#VALUE!</v>
      </c>
      <c r="FS17" t="e">
        <f>AND(Sheet1!AS66,"AAAAAHL79a4=")</f>
        <v>#VALUE!</v>
      </c>
      <c r="FT17" t="e">
        <f>AND(Sheet1!AT66,"AAAAAHL79a8=")</f>
        <v>#VALUE!</v>
      </c>
      <c r="FU17" t="e">
        <f>AND(Sheet1!AU66,"AAAAAHL79bA=")</f>
        <v>#VALUE!</v>
      </c>
      <c r="FV17" t="e">
        <f>AND(Sheet1!AV66,"AAAAAHL79bE=")</f>
        <v>#VALUE!</v>
      </c>
      <c r="FW17" t="e">
        <f>AND(Sheet1!AW66,"AAAAAHL79bI=")</f>
        <v>#VALUE!</v>
      </c>
      <c r="FX17" t="e">
        <f>AND(Sheet1!AX66,"AAAAAHL79bM=")</f>
        <v>#VALUE!</v>
      </c>
      <c r="FY17" t="e">
        <f>AND(Sheet1!AY66,"AAAAAHL79bQ=")</f>
        <v>#VALUE!</v>
      </c>
      <c r="FZ17" t="e">
        <f>AND(Sheet1!AZ66,"AAAAAHL79bU=")</f>
        <v>#VALUE!</v>
      </c>
      <c r="GA17" t="e">
        <f>AND(Sheet1!BA66,"AAAAAHL79bY=")</f>
        <v>#VALUE!</v>
      </c>
      <c r="GB17" t="e">
        <f>AND(Sheet1!BB66,"AAAAAHL79bc=")</f>
        <v>#VALUE!</v>
      </c>
      <c r="GC17" t="e">
        <f>AND(Sheet1!BC66,"AAAAAHL79bg=")</f>
        <v>#VALUE!</v>
      </c>
      <c r="GD17" t="e">
        <f>AND(Sheet1!BD66,"AAAAAHL79bk=")</f>
        <v>#VALUE!</v>
      </c>
      <c r="GE17" t="e">
        <f>AND(Sheet1!BE66,"AAAAAHL79bo=")</f>
        <v>#VALUE!</v>
      </c>
      <c r="GF17" t="e">
        <f>AND(Sheet1!BF66,"AAAAAHL79bs=")</f>
        <v>#VALUE!</v>
      </c>
      <c r="GG17" t="e">
        <f>AND(Sheet1!BG66,"AAAAAHL79bw=")</f>
        <v>#VALUE!</v>
      </c>
      <c r="GH17" t="e">
        <f>AND(Sheet1!BH66,"AAAAAHL79b0=")</f>
        <v>#VALUE!</v>
      </c>
      <c r="GI17" t="e">
        <f>AND(Sheet1!BI66,"AAAAAHL79b4=")</f>
        <v>#VALUE!</v>
      </c>
      <c r="GJ17" t="e">
        <f>AND(Sheet1!BJ66,"AAAAAHL79b8=")</f>
        <v>#VALUE!</v>
      </c>
      <c r="GK17" t="e">
        <f>AND(Sheet1!BK66,"AAAAAHL79cA=")</f>
        <v>#VALUE!</v>
      </c>
      <c r="GL17" t="e">
        <f>AND(Sheet1!BL66,"AAAAAHL79cE=")</f>
        <v>#VALUE!</v>
      </c>
      <c r="GM17">
        <f>IF(Sheet1!67:67,"AAAAAHL79cI=",0)</f>
        <v>0</v>
      </c>
      <c r="GN17" t="e">
        <f>AND(Sheet1!A67,"AAAAAHL79cM=")</f>
        <v>#VALUE!</v>
      </c>
      <c r="GO17" t="e">
        <f>AND(Sheet1!B67,"AAAAAHL79cQ=")</f>
        <v>#VALUE!</v>
      </c>
      <c r="GP17" t="e">
        <f>AND(Sheet1!C67,"AAAAAHL79cU=")</f>
        <v>#VALUE!</v>
      </c>
      <c r="GQ17" t="e">
        <f>AND(Sheet1!D67,"AAAAAHL79cY=")</f>
        <v>#VALUE!</v>
      </c>
      <c r="GR17" t="e">
        <f>AND(Sheet1!E67,"AAAAAHL79cc=")</f>
        <v>#VALUE!</v>
      </c>
      <c r="GS17" t="e">
        <f>AND(Sheet1!F67,"AAAAAHL79cg=")</f>
        <v>#VALUE!</v>
      </c>
      <c r="GT17" t="e">
        <f>AND(Sheet1!G67,"AAAAAHL79ck=")</f>
        <v>#VALUE!</v>
      </c>
      <c r="GU17" t="e">
        <f>AND(Sheet1!H67,"AAAAAHL79co=")</f>
        <v>#VALUE!</v>
      </c>
      <c r="GV17" t="e">
        <f>AND(Sheet1!I67,"AAAAAHL79cs=")</f>
        <v>#VALUE!</v>
      </c>
      <c r="GW17" t="e">
        <f>AND(Sheet1!J67,"AAAAAHL79cw=")</f>
        <v>#VALUE!</v>
      </c>
      <c r="GX17" t="e">
        <f>AND(Sheet1!K67,"AAAAAHL79c0=")</f>
        <v>#VALUE!</v>
      </c>
      <c r="GY17" t="e">
        <f>AND(Sheet1!L67,"AAAAAHL79c4=")</f>
        <v>#VALUE!</v>
      </c>
      <c r="GZ17" t="e">
        <f>AND(Sheet1!M67,"AAAAAHL79c8=")</f>
        <v>#VALUE!</v>
      </c>
      <c r="HA17" t="e">
        <f>AND(Sheet1!N67,"AAAAAHL79dA=")</f>
        <v>#VALUE!</v>
      </c>
      <c r="HB17" t="e">
        <f>AND(Sheet1!O67,"AAAAAHL79dE=")</f>
        <v>#VALUE!</v>
      </c>
      <c r="HC17" t="e">
        <f>AND(Sheet1!P67,"AAAAAHL79dI=")</f>
        <v>#VALUE!</v>
      </c>
      <c r="HD17" t="e">
        <f>AND(Sheet1!Q67,"AAAAAHL79dM=")</f>
        <v>#VALUE!</v>
      </c>
      <c r="HE17" t="e">
        <f>AND(Sheet1!R67,"AAAAAHL79dQ=")</f>
        <v>#VALUE!</v>
      </c>
      <c r="HF17" t="e">
        <f>AND(Sheet1!S67,"AAAAAHL79dU=")</f>
        <v>#VALUE!</v>
      </c>
      <c r="HG17" t="e">
        <f>AND(Sheet1!T67,"AAAAAHL79dY=")</f>
        <v>#VALUE!</v>
      </c>
      <c r="HH17" t="e">
        <f>AND(Sheet1!U67,"AAAAAHL79dc=")</f>
        <v>#VALUE!</v>
      </c>
      <c r="HI17" t="e">
        <f>AND(Sheet1!V67,"AAAAAHL79dg=")</f>
        <v>#VALUE!</v>
      </c>
      <c r="HJ17" t="e">
        <f>AND(Sheet1!W67,"AAAAAHL79dk=")</f>
        <v>#VALUE!</v>
      </c>
      <c r="HK17" t="e">
        <f>AND(Sheet1!X67,"AAAAAHL79do=")</f>
        <v>#VALUE!</v>
      </c>
      <c r="HL17" t="e">
        <f>AND(Sheet1!Y67,"AAAAAHL79ds=")</f>
        <v>#VALUE!</v>
      </c>
      <c r="HM17" t="e">
        <f>AND(Sheet1!Z67,"AAAAAHL79dw=")</f>
        <v>#VALUE!</v>
      </c>
      <c r="HN17" t="e">
        <f>AND(Sheet1!AA67,"AAAAAHL79d0=")</f>
        <v>#VALUE!</v>
      </c>
      <c r="HO17" t="e">
        <f>AND(Sheet1!AB67,"AAAAAHL79d4=")</f>
        <v>#VALUE!</v>
      </c>
      <c r="HP17" t="e">
        <f>AND(Sheet1!AC67,"AAAAAHL79d8=")</f>
        <v>#VALUE!</v>
      </c>
      <c r="HQ17" t="e">
        <f>AND(Sheet1!AD67,"AAAAAHL79eA=")</f>
        <v>#VALUE!</v>
      </c>
      <c r="HR17" t="e">
        <f>AND(Sheet1!AE67,"AAAAAHL79eE=")</f>
        <v>#VALUE!</v>
      </c>
      <c r="HS17" t="e">
        <f>AND(Sheet1!AF67,"AAAAAHL79eI=")</f>
        <v>#VALUE!</v>
      </c>
      <c r="HT17" t="e">
        <f>AND(Sheet1!AG67,"AAAAAHL79eM=")</f>
        <v>#VALUE!</v>
      </c>
      <c r="HU17" t="e">
        <f>AND(Sheet1!AH67,"AAAAAHL79eQ=")</f>
        <v>#VALUE!</v>
      </c>
      <c r="HV17" t="e">
        <f>AND(Sheet1!AI67,"AAAAAHL79eU=")</f>
        <v>#VALUE!</v>
      </c>
      <c r="HW17" t="e">
        <f>AND(Sheet1!AJ67,"AAAAAHL79eY=")</f>
        <v>#VALUE!</v>
      </c>
      <c r="HX17" t="e">
        <f>AND(Sheet1!AK67,"AAAAAHL79ec=")</f>
        <v>#VALUE!</v>
      </c>
      <c r="HY17" t="e">
        <f>AND(Sheet1!AL67,"AAAAAHL79eg=")</f>
        <v>#VALUE!</v>
      </c>
      <c r="HZ17" t="e">
        <f>AND(Sheet1!AM67,"AAAAAHL79ek=")</f>
        <v>#VALUE!</v>
      </c>
      <c r="IA17" t="e">
        <f>AND(Sheet1!AN67,"AAAAAHL79eo=")</f>
        <v>#VALUE!</v>
      </c>
      <c r="IB17" t="e">
        <f>AND(Sheet1!AO67,"AAAAAHL79es=")</f>
        <v>#VALUE!</v>
      </c>
      <c r="IC17" t="e">
        <f>AND(Sheet1!AP67,"AAAAAHL79ew=")</f>
        <v>#VALUE!</v>
      </c>
      <c r="ID17" t="e">
        <f>AND(Sheet1!AQ67,"AAAAAHL79e0=")</f>
        <v>#VALUE!</v>
      </c>
      <c r="IE17" t="e">
        <f>AND(Sheet1!AR67,"AAAAAHL79e4=")</f>
        <v>#VALUE!</v>
      </c>
      <c r="IF17" t="e">
        <f>AND(Sheet1!AS67,"AAAAAHL79e8=")</f>
        <v>#VALUE!</v>
      </c>
      <c r="IG17" t="e">
        <f>AND(Sheet1!AT67,"AAAAAHL79fA=")</f>
        <v>#VALUE!</v>
      </c>
      <c r="IH17" t="e">
        <f>AND(Sheet1!AU67,"AAAAAHL79fE=")</f>
        <v>#VALUE!</v>
      </c>
      <c r="II17" t="e">
        <f>AND(Sheet1!AV67,"AAAAAHL79fI=")</f>
        <v>#VALUE!</v>
      </c>
      <c r="IJ17" t="e">
        <f>AND(Sheet1!AW67,"AAAAAHL79fM=")</f>
        <v>#VALUE!</v>
      </c>
      <c r="IK17" t="e">
        <f>AND(Sheet1!AX67,"AAAAAHL79fQ=")</f>
        <v>#VALUE!</v>
      </c>
      <c r="IL17" t="e">
        <f>AND(Sheet1!AY67,"AAAAAHL79fU=")</f>
        <v>#VALUE!</v>
      </c>
      <c r="IM17" t="e">
        <f>AND(Sheet1!AZ67,"AAAAAHL79fY=")</f>
        <v>#VALUE!</v>
      </c>
      <c r="IN17" t="e">
        <f>AND(Sheet1!BA67,"AAAAAHL79fc=")</f>
        <v>#VALUE!</v>
      </c>
      <c r="IO17" t="e">
        <f>AND(Sheet1!BB67,"AAAAAHL79fg=")</f>
        <v>#VALUE!</v>
      </c>
      <c r="IP17" t="e">
        <f>AND(Sheet1!BC67,"AAAAAHL79fk=")</f>
        <v>#VALUE!</v>
      </c>
      <c r="IQ17" t="e">
        <f>AND(Sheet1!BD67,"AAAAAHL79fo=")</f>
        <v>#VALUE!</v>
      </c>
      <c r="IR17" t="e">
        <f>AND(Sheet1!BE67,"AAAAAHL79fs=")</f>
        <v>#VALUE!</v>
      </c>
      <c r="IS17" t="e">
        <f>AND(Sheet1!BF67,"AAAAAHL79fw=")</f>
        <v>#VALUE!</v>
      </c>
      <c r="IT17" t="e">
        <f>AND(Sheet1!BG67,"AAAAAHL79f0=")</f>
        <v>#VALUE!</v>
      </c>
      <c r="IU17" t="e">
        <f>AND(Sheet1!BH67,"AAAAAHL79f4=")</f>
        <v>#VALUE!</v>
      </c>
      <c r="IV17" t="e">
        <f>AND(Sheet1!BI67,"AAAAAHL79f8=")</f>
        <v>#VALUE!</v>
      </c>
    </row>
    <row r="18" spans="1:256" ht="12.75">
      <c r="A18" t="e">
        <f>AND(Sheet1!BJ67,"AAAAAEhfvwA=")</f>
        <v>#VALUE!</v>
      </c>
      <c r="B18" t="e">
        <f>AND(Sheet1!BK67,"AAAAAEhfvwE=")</f>
        <v>#VALUE!</v>
      </c>
      <c r="C18" t="e">
        <f>AND(Sheet1!BL67,"AAAAAEhfvwI=")</f>
        <v>#VALUE!</v>
      </c>
      <c r="D18">
        <f>IF(Sheet1!68:68,"AAAAAEhfvwM=",0)</f>
        <v>0</v>
      </c>
      <c r="E18" t="e">
        <f>AND(Sheet1!A68,"AAAAAEhfvwQ=")</f>
        <v>#VALUE!</v>
      </c>
      <c r="F18" t="e">
        <f>AND(Sheet1!B68,"AAAAAEhfvwU=")</f>
        <v>#VALUE!</v>
      </c>
      <c r="G18" t="e">
        <f>AND(Sheet1!C68,"AAAAAEhfvwY=")</f>
        <v>#VALUE!</v>
      </c>
      <c r="H18" t="e">
        <f>AND(Sheet1!D68,"AAAAAEhfvwc=")</f>
        <v>#VALUE!</v>
      </c>
      <c r="I18" t="e">
        <f>AND(Sheet1!E68,"AAAAAEhfvwg=")</f>
        <v>#VALUE!</v>
      </c>
      <c r="J18" t="e">
        <f>AND(Sheet1!F68,"AAAAAEhfvwk=")</f>
        <v>#VALUE!</v>
      </c>
      <c r="K18" t="e">
        <f>AND(Sheet1!G68,"AAAAAEhfvwo=")</f>
        <v>#VALUE!</v>
      </c>
      <c r="L18" t="e">
        <f>AND(Sheet1!H68,"AAAAAEhfvws=")</f>
        <v>#VALUE!</v>
      </c>
      <c r="M18" t="e">
        <f>AND(Sheet1!I68,"AAAAAEhfvww=")</f>
        <v>#VALUE!</v>
      </c>
      <c r="N18" t="e">
        <f>AND(Sheet1!J68,"AAAAAEhfvw0=")</f>
        <v>#VALUE!</v>
      </c>
      <c r="O18" t="e">
        <f>AND(Sheet1!K68,"AAAAAEhfvw4=")</f>
        <v>#VALUE!</v>
      </c>
      <c r="P18" t="e">
        <f>AND(Sheet1!L68,"AAAAAEhfvw8=")</f>
        <v>#VALUE!</v>
      </c>
      <c r="Q18" t="e">
        <f>AND(Sheet1!M68,"AAAAAEhfvxA=")</f>
        <v>#VALUE!</v>
      </c>
      <c r="R18" t="e">
        <f>AND(Sheet1!N68,"AAAAAEhfvxE=")</f>
        <v>#VALUE!</v>
      </c>
      <c r="S18" t="e">
        <f>AND(Sheet1!O68,"AAAAAEhfvxI=")</f>
        <v>#VALUE!</v>
      </c>
      <c r="T18" t="e">
        <f>AND(Sheet1!P68,"AAAAAEhfvxM=")</f>
        <v>#VALUE!</v>
      </c>
      <c r="U18" t="e">
        <f>AND(Sheet1!Q68,"AAAAAEhfvxQ=")</f>
        <v>#VALUE!</v>
      </c>
      <c r="V18" t="e">
        <f>AND(Sheet1!R68,"AAAAAEhfvxU=")</f>
        <v>#VALUE!</v>
      </c>
      <c r="W18" t="e">
        <f>AND(Sheet1!S68,"AAAAAEhfvxY=")</f>
        <v>#VALUE!</v>
      </c>
      <c r="X18" t="e">
        <f>AND(Sheet1!T68,"AAAAAEhfvxc=")</f>
        <v>#VALUE!</v>
      </c>
      <c r="Y18" t="e">
        <f>AND(Sheet1!U68,"AAAAAEhfvxg=")</f>
        <v>#VALUE!</v>
      </c>
      <c r="Z18" t="e">
        <f>AND(Sheet1!V68,"AAAAAEhfvxk=")</f>
        <v>#VALUE!</v>
      </c>
      <c r="AA18" t="e">
        <f>AND(Sheet1!W68,"AAAAAEhfvxo=")</f>
        <v>#VALUE!</v>
      </c>
      <c r="AB18" t="e">
        <f>AND(Sheet1!X68,"AAAAAEhfvxs=")</f>
        <v>#VALUE!</v>
      </c>
      <c r="AC18" t="e">
        <f>AND(Sheet1!Y68,"AAAAAEhfvxw=")</f>
        <v>#VALUE!</v>
      </c>
      <c r="AD18" t="e">
        <f>AND(Sheet1!Z68,"AAAAAEhfvx0=")</f>
        <v>#VALUE!</v>
      </c>
      <c r="AE18" t="e">
        <f>AND(Sheet1!AA68,"AAAAAEhfvx4=")</f>
        <v>#VALUE!</v>
      </c>
      <c r="AF18" t="e">
        <f>AND(Sheet1!AB68,"AAAAAEhfvx8=")</f>
        <v>#VALUE!</v>
      </c>
      <c r="AG18" t="e">
        <f>AND(Sheet1!AC68,"AAAAAEhfvyA=")</f>
        <v>#VALUE!</v>
      </c>
      <c r="AH18" t="e">
        <f>AND(Sheet1!AD68,"AAAAAEhfvyE=")</f>
        <v>#VALUE!</v>
      </c>
      <c r="AI18" t="e">
        <f>AND(Sheet1!AE68,"AAAAAEhfvyI=")</f>
        <v>#VALUE!</v>
      </c>
      <c r="AJ18" t="e">
        <f>AND(Sheet1!AF68,"AAAAAEhfvyM=")</f>
        <v>#VALUE!</v>
      </c>
      <c r="AK18" t="e">
        <f>AND(Sheet1!AG68,"AAAAAEhfvyQ=")</f>
        <v>#VALUE!</v>
      </c>
      <c r="AL18" t="e">
        <f>AND(Sheet1!AH68,"AAAAAEhfvyU=")</f>
        <v>#VALUE!</v>
      </c>
      <c r="AM18" t="e">
        <f>AND(Sheet1!AI68,"AAAAAEhfvyY=")</f>
        <v>#VALUE!</v>
      </c>
      <c r="AN18" t="e">
        <f>AND(Sheet1!AJ68,"AAAAAEhfvyc=")</f>
        <v>#VALUE!</v>
      </c>
      <c r="AO18" t="e">
        <f>AND(Sheet1!AK68,"AAAAAEhfvyg=")</f>
        <v>#VALUE!</v>
      </c>
      <c r="AP18" t="e">
        <f>AND(Sheet1!AL68,"AAAAAEhfvyk=")</f>
        <v>#VALUE!</v>
      </c>
      <c r="AQ18" t="e">
        <f>AND(Sheet1!AM68,"AAAAAEhfvyo=")</f>
        <v>#VALUE!</v>
      </c>
      <c r="AR18" t="e">
        <f>AND(Sheet1!AN68,"AAAAAEhfvys=")</f>
        <v>#VALUE!</v>
      </c>
      <c r="AS18" t="e">
        <f>AND(Sheet1!AO68,"AAAAAEhfvyw=")</f>
        <v>#VALUE!</v>
      </c>
      <c r="AT18" t="e">
        <f>AND(Sheet1!AP68,"AAAAAEhfvy0=")</f>
        <v>#VALUE!</v>
      </c>
      <c r="AU18" t="e">
        <f>AND(Sheet1!AQ68,"AAAAAEhfvy4=")</f>
        <v>#VALUE!</v>
      </c>
      <c r="AV18" t="e">
        <f>AND(Sheet1!AR68,"AAAAAEhfvy8=")</f>
        <v>#VALUE!</v>
      </c>
      <c r="AW18" t="e">
        <f>AND(Sheet1!AS68,"AAAAAEhfvzA=")</f>
        <v>#VALUE!</v>
      </c>
      <c r="AX18" t="e">
        <f>AND(Sheet1!AT68,"AAAAAEhfvzE=")</f>
        <v>#VALUE!</v>
      </c>
      <c r="AY18" t="e">
        <f>AND(Sheet1!AU68,"AAAAAEhfvzI=")</f>
        <v>#VALUE!</v>
      </c>
      <c r="AZ18" t="e">
        <f>AND(Sheet1!AV68,"AAAAAEhfvzM=")</f>
        <v>#VALUE!</v>
      </c>
      <c r="BA18" t="e">
        <f>AND(Sheet1!AW68,"AAAAAEhfvzQ=")</f>
        <v>#VALUE!</v>
      </c>
      <c r="BB18" t="e">
        <f>AND(Sheet1!AX68,"AAAAAEhfvzU=")</f>
        <v>#VALUE!</v>
      </c>
      <c r="BC18" t="e">
        <f>AND(Sheet1!AY68,"AAAAAEhfvzY=")</f>
        <v>#VALUE!</v>
      </c>
      <c r="BD18" t="e">
        <f>AND(Sheet1!AZ68,"AAAAAEhfvzc=")</f>
        <v>#VALUE!</v>
      </c>
      <c r="BE18" t="e">
        <f>AND(Sheet1!BA68,"AAAAAEhfvzg=")</f>
        <v>#VALUE!</v>
      </c>
      <c r="BF18" t="e">
        <f>AND(Sheet1!BB68,"AAAAAEhfvzk=")</f>
        <v>#VALUE!</v>
      </c>
      <c r="BG18" t="e">
        <f>AND(Sheet1!BC68,"AAAAAEhfvzo=")</f>
        <v>#VALUE!</v>
      </c>
      <c r="BH18" t="e">
        <f>AND(Sheet1!BD68,"AAAAAEhfvzs=")</f>
        <v>#VALUE!</v>
      </c>
      <c r="BI18" t="e">
        <f>AND(Sheet1!BE68,"AAAAAEhfvzw=")</f>
        <v>#VALUE!</v>
      </c>
      <c r="BJ18" t="e">
        <f>AND(Sheet1!BF68,"AAAAAEhfvz0=")</f>
        <v>#VALUE!</v>
      </c>
      <c r="BK18" t="e">
        <f>AND(Sheet1!BG68,"AAAAAEhfvz4=")</f>
        <v>#VALUE!</v>
      </c>
      <c r="BL18" t="e">
        <f>AND(Sheet1!BH68,"AAAAAEhfvz8=")</f>
        <v>#VALUE!</v>
      </c>
      <c r="BM18" t="e">
        <f>AND(Sheet1!BI68,"AAAAAEhfv0A=")</f>
        <v>#VALUE!</v>
      </c>
      <c r="BN18" t="e">
        <f>AND(Sheet1!BJ68,"AAAAAEhfv0E=")</f>
        <v>#VALUE!</v>
      </c>
      <c r="BO18" t="e">
        <f>AND(Sheet1!BK68,"AAAAAEhfv0I=")</f>
        <v>#VALUE!</v>
      </c>
      <c r="BP18" t="e">
        <f>AND(Sheet1!BL68,"AAAAAEhfv0M=")</f>
        <v>#VALUE!</v>
      </c>
      <c r="BQ18">
        <f>IF(Sheet1!69:69,"AAAAAEhfv0Q=",0)</f>
        <v>0</v>
      </c>
      <c r="BR18" t="e">
        <f>AND(Sheet1!A69,"AAAAAEhfv0U=")</f>
        <v>#VALUE!</v>
      </c>
      <c r="BS18" t="e">
        <f>AND(Sheet1!B69,"AAAAAEhfv0Y=")</f>
        <v>#VALUE!</v>
      </c>
      <c r="BT18" t="e">
        <f>AND(Sheet1!C69,"AAAAAEhfv0c=")</f>
        <v>#VALUE!</v>
      </c>
      <c r="BU18" t="e">
        <f>AND(Sheet1!D69,"AAAAAEhfv0g=")</f>
        <v>#VALUE!</v>
      </c>
      <c r="BV18" t="e">
        <f>AND(Sheet1!E69,"AAAAAEhfv0k=")</f>
        <v>#VALUE!</v>
      </c>
      <c r="BW18" t="e">
        <f>AND(Sheet1!F69,"AAAAAEhfv0o=")</f>
        <v>#VALUE!</v>
      </c>
      <c r="BX18" t="e">
        <f>AND(Sheet1!G69,"AAAAAEhfv0s=")</f>
        <v>#VALUE!</v>
      </c>
      <c r="BY18" t="e">
        <f>AND(Sheet1!H69,"AAAAAEhfv0w=")</f>
        <v>#VALUE!</v>
      </c>
      <c r="BZ18" t="e">
        <f>AND(Sheet1!I69,"AAAAAEhfv00=")</f>
        <v>#VALUE!</v>
      </c>
      <c r="CA18" t="e">
        <f>AND(Sheet1!J69,"AAAAAEhfv04=")</f>
        <v>#VALUE!</v>
      </c>
      <c r="CB18" t="e">
        <f>AND(Sheet1!K69,"AAAAAEhfv08=")</f>
        <v>#VALUE!</v>
      </c>
      <c r="CC18" t="e">
        <f>AND(Sheet1!L69,"AAAAAEhfv1A=")</f>
        <v>#VALUE!</v>
      </c>
      <c r="CD18" t="e">
        <f>AND(Sheet1!M69,"AAAAAEhfv1E=")</f>
        <v>#VALUE!</v>
      </c>
      <c r="CE18" t="e">
        <f>AND(Sheet1!N69,"AAAAAEhfv1I=")</f>
        <v>#VALUE!</v>
      </c>
      <c r="CF18" t="e">
        <f>AND(Sheet1!O69,"AAAAAEhfv1M=")</f>
        <v>#VALUE!</v>
      </c>
      <c r="CG18" t="e">
        <f>AND(Sheet1!P69,"AAAAAEhfv1Q=")</f>
        <v>#VALUE!</v>
      </c>
      <c r="CH18" t="e">
        <f>AND(Sheet1!Q69,"AAAAAEhfv1U=")</f>
        <v>#VALUE!</v>
      </c>
      <c r="CI18" t="e">
        <f>AND(Sheet1!R69,"AAAAAEhfv1Y=")</f>
        <v>#VALUE!</v>
      </c>
      <c r="CJ18" t="e">
        <f>AND(Sheet1!S69,"AAAAAEhfv1c=")</f>
        <v>#VALUE!</v>
      </c>
      <c r="CK18" t="e">
        <f>AND(Sheet1!T69,"AAAAAEhfv1g=")</f>
        <v>#VALUE!</v>
      </c>
      <c r="CL18" t="e">
        <f>AND(Sheet1!U69,"AAAAAEhfv1k=")</f>
        <v>#VALUE!</v>
      </c>
      <c r="CM18" t="e">
        <f>AND(Sheet1!V69,"AAAAAEhfv1o=")</f>
        <v>#VALUE!</v>
      </c>
      <c r="CN18" t="e">
        <f>AND(Sheet1!W69,"AAAAAEhfv1s=")</f>
        <v>#VALUE!</v>
      </c>
      <c r="CO18" t="e">
        <f>AND(Sheet1!X69,"AAAAAEhfv1w=")</f>
        <v>#VALUE!</v>
      </c>
      <c r="CP18" t="e">
        <f>AND(Sheet1!Y69,"AAAAAEhfv10=")</f>
        <v>#VALUE!</v>
      </c>
      <c r="CQ18" t="e">
        <f>AND(Sheet1!Z69,"AAAAAEhfv14=")</f>
        <v>#VALUE!</v>
      </c>
      <c r="CR18" t="e">
        <f>AND(Sheet1!AA69,"AAAAAEhfv18=")</f>
        <v>#VALUE!</v>
      </c>
      <c r="CS18" t="e">
        <f>AND(Sheet1!AB69,"AAAAAEhfv2A=")</f>
        <v>#VALUE!</v>
      </c>
      <c r="CT18" t="e">
        <f>AND(Sheet1!AC69,"AAAAAEhfv2E=")</f>
        <v>#VALUE!</v>
      </c>
      <c r="CU18" t="e">
        <f>AND(Sheet1!AD69,"AAAAAEhfv2I=")</f>
        <v>#VALUE!</v>
      </c>
      <c r="CV18" t="e">
        <f>AND(Sheet1!AE69,"AAAAAEhfv2M=")</f>
        <v>#VALUE!</v>
      </c>
      <c r="CW18" t="e">
        <f>AND(Sheet1!AF69,"AAAAAEhfv2Q=")</f>
        <v>#VALUE!</v>
      </c>
      <c r="CX18" t="e">
        <f>AND(Sheet1!AG69,"AAAAAEhfv2U=")</f>
        <v>#VALUE!</v>
      </c>
      <c r="CY18" t="e">
        <f>AND(Sheet1!AH69,"AAAAAEhfv2Y=")</f>
        <v>#VALUE!</v>
      </c>
      <c r="CZ18" t="e">
        <f>AND(Sheet1!AI69,"AAAAAEhfv2c=")</f>
        <v>#VALUE!</v>
      </c>
      <c r="DA18" t="e">
        <f>AND(Sheet1!AJ69,"AAAAAEhfv2g=")</f>
        <v>#VALUE!</v>
      </c>
      <c r="DB18" t="e">
        <f>AND(Sheet1!AK69,"AAAAAEhfv2k=")</f>
        <v>#VALUE!</v>
      </c>
      <c r="DC18" t="e">
        <f>AND(Sheet1!AL69,"AAAAAEhfv2o=")</f>
        <v>#VALUE!</v>
      </c>
      <c r="DD18" t="e">
        <f>AND(Sheet1!AM69,"AAAAAEhfv2s=")</f>
        <v>#VALUE!</v>
      </c>
      <c r="DE18" t="e">
        <f>AND(Sheet1!AN69,"AAAAAEhfv2w=")</f>
        <v>#VALUE!</v>
      </c>
      <c r="DF18" t="e">
        <f>AND(Sheet1!AO69,"AAAAAEhfv20=")</f>
        <v>#VALUE!</v>
      </c>
      <c r="DG18" t="e">
        <f>AND(Sheet1!AP69,"AAAAAEhfv24=")</f>
        <v>#VALUE!</v>
      </c>
      <c r="DH18" t="e">
        <f>AND(Sheet1!AQ69,"AAAAAEhfv28=")</f>
        <v>#VALUE!</v>
      </c>
      <c r="DI18" t="e">
        <f>AND(Sheet1!AR69,"AAAAAEhfv3A=")</f>
        <v>#VALUE!</v>
      </c>
      <c r="DJ18" t="e">
        <f>AND(Sheet1!AS69,"AAAAAEhfv3E=")</f>
        <v>#VALUE!</v>
      </c>
      <c r="DK18" t="e">
        <f>AND(Sheet1!AT69,"AAAAAEhfv3I=")</f>
        <v>#VALUE!</v>
      </c>
      <c r="DL18" t="e">
        <f>AND(Sheet1!AU69,"AAAAAEhfv3M=")</f>
        <v>#VALUE!</v>
      </c>
      <c r="DM18" t="e">
        <f>AND(Sheet1!AV69,"AAAAAEhfv3Q=")</f>
        <v>#VALUE!</v>
      </c>
      <c r="DN18" t="e">
        <f>AND(Sheet1!AW69,"AAAAAEhfv3U=")</f>
        <v>#VALUE!</v>
      </c>
      <c r="DO18" t="e">
        <f>AND(Sheet1!AX69,"AAAAAEhfv3Y=")</f>
        <v>#VALUE!</v>
      </c>
      <c r="DP18" t="e">
        <f>AND(Sheet1!AY69,"AAAAAEhfv3c=")</f>
        <v>#VALUE!</v>
      </c>
      <c r="DQ18" t="e">
        <f>AND(Sheet1!AZ69,"AAAAAEhfv3g=")</f>
        <v>#VALUE!</v>
      </c>
      <c r="DR18" t="e">
        <f>AND(Sheet1!BA69,"AAAAAEhfv3k=")</f>
        <v>#VALUE!</v>
      </c>
      <c r="DS18" t="e">
        <f>AND(Sheet1!BB69,"AAAAAEhfv3o=")</f>
        <v>#VALUE!</v>
      </c>
      <c r="DT18" t="e">
        <f>AND(Sheet1!BC69,"AAAAAEhfv3s=")</f>
        <v>#VALUE!</v>
      </c>
      <c r="DU18" t="e">
        <f>AND(Sheet1!BD69,"AAAAAEhfv3w=")</f>
        <v>#VALUE!</v>
      </c>
      <c r="DV18" t="e">
        <f>AND(Sheet1!BE69,"AAAAAEhfv30=")</f>
        <v>#VALUE!</v>
      </c>
      <c r="DW18" t="e">
        <f>AND(Sheet1!BF69,"AAAAAEhfv34=")</f>
        <v>#VALUE!</v>
      </c>
      <c r="DX18" t="e">
        <f>AND(Sheet1!BG69,"AAAAAEhfv38=")</f>
        <v>#VALUE!</v>
      </c>
      <c r="DY18" t="e">
        <f>AND(Sheet1!BH69,"AAAAAEhfv4A=")</f>
        <v>#VALUE!</v>
      </c>
      <c r="DZ18" t="e">
        <f>AND(Sheet1!BI69,"AAAAAEhfv4E=")</f>
        <v>#VALUE!</v>
      </c>
      <c r="EA18" t="e">
        <f>AND(Sheet1!BJ69,"AAAAAEhfv4I=")</f>
        <v>#VALUE!</v>
      </c>
      <c r="EB18" t="e">
        <f>AND(Sheet1!BK69,"AAAAAEhfv4M=")</f>
        <v>#VALUE!</v>
      </c>
      <c r="EC18" t="e">
        <f>AND(Sheet1!BL69,"AAAAAEhfv4Q=")</f>
        <v>#VALUE!</v>
      </c>
      <c r="ED18">
        <f>IF(Sheet1!70:70,"AAAAAEhfv4U=",0)</f>
        <v>0</v>
      </c>
      <c r="EE18" t="e">
        <f>AND(Sheet1!A70,"AAAAAEhfv4Y=")</f>
        <v>#VALUE!</v>
      </c>
      <c r="EF18" t="e">
        <f>AND(Sheet1!B70,"AAAAAEhfv4c=")</f>
        <v>#VALUE!</v>
      </c>
      <c r="EG18" t="e">
        <f>AND(Sheet1!C70,"AAAAAEhfv4g=")</f>
        <v>#VALUE!</v>
      </c>
      <c r="EH18" t="e">
        <f>AND(Sheet1!D70,"AAAAAEhfv4k=")</f>
        <v>#VALUE!</v>
      </c>
      <c r="EI18" t="e">
        <f>AND(Sheet1!E70,"AAAAAEhfv4o=")</f>
        <v>#VALUE!</v>
      </c>
      <c r="EJ18" t="e">
        <f>AND(Sheet1!F70,"AAAAAEhfv4s=")</f>
        <v>#VALUE!</v>
      </c>
      <c r="EK18" t="e">
        <f>AND(Sheet1!G70,"AAAAAEhfv4w=")</f>
        <v>#VALUE!</v>
      </c>
      <c r="EL18" t="e">
        <f>AND(Sheet1!H70,"AAAAAEhfv40=")</f>
        <v>#VALUE!</v>
      </c>
      <c r="EM18" t="e">
        <f>AND(Sheet1!I70,"AAAAAEhfv44=")</f>
        <v>#VALUE!</v>
      </c>
      <c r="EN18" t="e">
        <f>AND(Sheet1!J70,"AAAAAEhfv48=")</f>
        <v>#VALUE!</v>
      </c>
      <c r="EO18" t="e">
        <f>AND(Sheet1!K70,"AAAAAEhfv5A=")</f>
        <v>#VALUE!</v>
      </c>
      <c r="EP18" t="e">
        <f>AND(Sheet1!L70,"AAAAAEhfv5E=")</f>
        <v>#VALUE!</v>
      </c>
      <c r="EQ18" t="e">
        <f>AND(Sheet1!M70,"AAAAAEhfv5I=")</f>
        <v>#VALUE!</v>
      </c>
      <c r="ER18" t="e">
        <f>AND(Sheet1!N70,"AAAAAEhfv5M=")</f>
        <v>#VALUE!</v>
      </c>
      <c r="ES18" t="e">
        <f>AND(Sheet1!O70,"AAAAAEhfv5Q=")</f>
        <v>#VALUE!</v>
      </c>
      <c r="ET18" t="e">
        <f>AND(Sheet1!P70,"AAAAAEhfv5U=")</f>
        <v>#VALUE!</v>
      </c>
      <c r="EU18" t="e">
        <f>AND(Sheet1!Q70,"AAAAAEhfv5Y=")</f>
        <v>#VALUE!</v>
      </c>
      <c r="EV18" t="e">
        <f>AND(Sheet1!R70,"AAAAAEhfv5c=")</f>
        <v>#VALUE!</v>
      </c>
      <c r="EW18" t="e">
        <f>AND(Sheet1!S70,"AAAAAEhfv5g=")</f>
        <v>#VALUE!</v>
      </c>
      <c r="EX18" t="e">
        <f>AND(Sheet1!T70,"AAAAAEhfv5k=")</f>
        <v>#VALUE!</v>
      </c>
      <c r="EY18" t="e">
        <f>AND(Sheet1!U70,"AAAAAEhfv5o=")</f>
        <v>#VALUE!</v>
      </c>
      <c r="EZ18" t="e">
        <f>AND(Sheet1!V70,"AAAAAEhfv5s=")</f>
        <v>#VALUE!</v>
      </c>
      <c r="FA18" t="e">
        <f>AND(Sheet1!W70,"AAAAAEhfv5w=")</f>
        <v>#VALUE!</v>
      </c>
      <c r="FB18" t="e">
        <f>AND(Sheet1!X70,"AAAAAEhfv50=")</f>
        <v>#VALUE!</v>
      </c>
      <c r="FC18" t="e">
        <f>AND(Sheet1!Y70,"AAAAAEhfv54=")</f>
        <v>#VALUE!</v>
      </c>
      <c r="FD18" t="e">
        <f>AND(Sheet1!Z70,"AAAAAEhfv58=")</f>
        <v>#VALUE!</v>
      </c>
      <c r="FE18" t="e">
        <f>AND(Sheet1!AA70,"AAAAAEhfv6A=")</f>
        <v>#VALUE!</v>
      </c>
      <c r="FF18" t="e">
        <f>AND(Sheet1!AB70,"AAAAAEhfv6E=")</f>
        <v>#VALUE!</v>
      </c>
      <c r="FG18" t="e">
        <f>AND(Sheet1!AC70,"AAAAAEhfv6I=")</f>
        <v>#VALUE!</v>
      </c>
      <c r="FH18" t="e">
        <f>AND(Sheet1!AD70,"AAAAAEhfv6M=")</f>
        <v>#VALUE!</v>
      </c>
      <c r="FI18" t="e">
        <f>AND(Sheet1!AE70,"AAAAAEhfv6Q=")</f>
        <v>#VALUE!</v>
      </c>
      <c r="FJ18" t="e">
        <f>AND(Sheet1!AF70,"AAAAAEhfv6U=")</f>
        <v>#VALUE!</v>
      </c>
      <c r="FK18" t="e">
        <f>AND(Sheet1!AG70,"AAAAAEhfv6Y=")</f>
        <v>#VALUE!</v>
      </c>
      <c r="FL18" t="e">
        <f>AND(Sheet1!AH70,"AAAAAEhfv6c=")</f>
        <v>#VALUE!</v>
      </c>
      <c r="FM18" t="e">
        <f>AND(Sheet1!AI70,"AAAAAEhfv6g=")</f>
        <v>#VALUE!</v>
      </c>
      <c r="FN18" t="e">
        <f>AND(Sheet1!AJ70,"AAAAAEhfv6k=")</f>
        <v>#VALUE!</v>
      </c>
      <c r="FO18" t="e">
        <f>AND(Sheet1!AK70,"AAAAAEhfv6o=")</f>
        <v>#VALUE!</v>
      </c>
      <c r="FP18" t="e">
        <f>AND(Sheet1!AL70,"AAAAAEhfv6s=")</f>
        <v>#VALUE!</v>
      </c>
      <c r="FQ18" t="e">
        <f>AND(Sheet1!AM70,"AAAAAEhfv6w=")</f>
        <v>#VALUE!</v>
      </c>
      <c r="FR18" t="e">
        <f>AND(Sheet1!AN70,"AAAAAEhfv60=")</f>
        <v>#VALUE!</v>
      </c>
      <c r="FS18" t="e">
        <f>AND(Sheet1!AO70,"AAAAAEhfv64=")</f>
        <v>#VALUE!</v>
      </c>
      <c r="FT18" t="e">
        <f>AND(Sheet1!AP70,"AAAAAEhfv68=")</f>
        <v>#VALUE!</v>
      </c>
      <c r="FU18" t="e">
        <f>AND(Sheet1!AQ70,"AAAAAEhfv7A=")</f>
        <v>#VALUE!</v>
      </c>
      <c r="FV18" t="e">
        <f>AND(Sheet1!AR70,"AAAAAEhfv7E=")</f>
        <v>#VALUE!</v>
      </c>
      <c r="FW18" t="e">
        <f>AND(Sheet1!AS70,"AAAAAEhfv7I=")</f>
        <v>#VALUE!</v>
      </c>
      <c r="FX18" t="e">
        <f>AND(Sheet1!AT70,"AAAAAEhfv7M=")</f>
        <v>#VALUE!</v>
      </c>
      <c r="FY18" t="e">
        <f>AND(Sheet1!AU70,"AAAAAEhfv7Q=")</f>
        <v>#VALUE!</v>
      </c>
      <c r="FZ18" t="e">
        <f>AND(Sheet1!AV70,"AAAAAEhfv7U=")</f>
        <v>#VALUE!</v>
      </c>
      <c r="GA18" t="e">
        <f>AND(Sheet1!AW70,"AAAAAEhfv7Y=")</f>
        <v>#VALUE!</v>
      </c>
      <c r="GB18" t="e">
        <f>AND(Sheet1!AX70,"AAAAAEhfv7c=")</f>
        <v>#VALUE!</v>
      </c>
      <c r="GC18" t="e">
        <f>AND(Sheet1!AY70,"AAAAAEhfv7g=")</f>
        <v>#VALUE!</v>
      </c>
      <c r="GD18" t="e">
        <f>AND(Sheet1!AZ70,"AAAAAEhfv7k=")</f>
        <v>#VALUE!</v>
      </c>
      <c r="GE18" t="e">
        <f>AND(Sheet1!BA70,"AAAAAEhfv7o=")</f>
        <v>#VALUE!</v>
      </c>
      <c r="GF18" t="e">
        <f>AND(Sheet1!BB70,"AAAAAEhfv7s=")</f>
        <v>#VALUE!</v>
      </c>
      <c r="GG18" t="e">
        <f>AND(Sheet1!BC70,"AAAAAEhfv7w=")</f>
        <v>#VALUE!</v>
      </c>
      <c r="GH18" t="e">
        <f>AND(Sheet1!BD70,"AAAAAEhfv70=")</f>
        <v>#VALUE!</v>
      </c>
      <c r="GI18" t="e">
        <f>AND(Sheet1!BE70,"AAAAAEhfv74=")</f>
        <v>#VALUE!</v>
      </c>
      <c r="GJ18" t="e">
        <f>AND(Sheet1!BF70,"AAAAAEhfv78=")</f>
        <v>#VALUE!</v>
      </c>
      <c r="GK18" t="e">
        <f>AND(Sheet1!BG70,"AAAAAEhfv8A=")</f>
        <v>#VALUE!</v>
      </c>
      <c r="GL18" t="e">
        <f>AND(Sheet1!BH70,"AAAAAEhfv8E=")</f>
        <v>#VALUE!</v>
      </c>
      <c r="GM18" t="e">
        <f>AND(Sheet1!BI70,"AAAAAEhfv8I=")</f>
        <v>#VALUE!</v>
      </c>
      <c r="GN18" t="e">
        <f>AND(Sheet1!BJ70,"AAAAAEhfv8M=")</f>
        <v>#VALUE!</v>
      </c>
      <c r="GO18" t="e">
        <f>AND(Sheet1!BK70,"AAAAAEhfv8Q=")</f>
        <v>#VALUE!</v>
      </c>
      <c r="GP18" t="e">
        <f>AND(Sheet1!BL70,"AAAAAEhfv8U=")</f>
        <v>#VALUE!</v>
      </c>
      <c r="GQ18">
        <f>IF(Sheet1!71:71,"AAAAAEhfv8Y=",0)</f>
        <v>0</v>
      </c>
      <c r="GR18" t="e">
        <f>AND(Sheet1!A71,"AAAAAEhfv8c=")</f>
        <v>#VALUE!</v>
      </c>
      <c r="GS18" t="e">
        <f>AND(Sheet1!B71,"AAAAAEhfv8g=")</f>
        <v>#VALUE!</v>
      </c>
      <c r="GT18" t="e">
        <f>AND(Sheet1!C71,"AAAAAEhfv8k=")</f>
        <v>#VALUE!</v>
      </c>
      <c r="GU18" t="e">
        <f>AND(Sheet1!D71,"AAAAAEhfv8o=")</f>
        <v>#VALUE!</v>
      </c>
      <c r="GV18" t="e">
        <f>AND(Sheet1!E71,"AAAAAEhfv8s=")</f>
        <v>#VALUE!</v>
      </c>
      <c r="GW18" t="e">
        <f>AND(Sheet1!F71,"AAAAAEhfv8w=")</f>
        <v>#VALUE!</v>
      </c>
      <c r="GX18" t="e">
        <f>AND(Sheet1!G71,"AAAAAEhfv80=")</f>
        <v>#VALUE!</v>
      </c>
      <c r="GY18" t="e">
        <f>AND(Sheet1!H71,"AAAAAEhfv84=")</f>
        <v>#VALUE!</v>
      </c>
      <c r="GZ18" t="e">
        <f>AND(Sheet1!I71,"AAAAAEhfv88=")</f>
        <v>#VALUE!</v>
      </c>
      <c r="HA18" t="e">
        <f>AND(Sheet1!J71,"AAAAAEhfv9A=")</f>
        <v>#VALUE!</v>
      </c>
      <c r="HB18" t="e">
        <f>AND(Sheet1!K71,"AAAAAEhfv9E=")</f>
        <v>#VALUE!</v>
      </c>
      <c r="HC18" t="e">
        <f>AND(Sheet1!L71,"AAAAAEhfv9I=")</f>
        <v>#VALUE!</v>
      </c>
      <c r="HD18" t="e">
        <f>AND(Sheet1!M71,"AAAAAEhfv9M=")</f>
        <v>#VALUE!</v>
      </c>
      <c r="HE18" t="e">
        <f>AND(Sheet1!N71,"AAAAAEhfv9Q=")</f>
        <v>#VALUE!</v>
      </c>
      <c r="HF18" t="e">
        <f>AND(Sheet1!O71,"AAAAAEhfv9U=")</f>
        <v>#VALUE!</v>
      </c>
      <c r="HG18" t="e">
        <f>AND(Sheet1!P71,"AAAAAEhfv9Y=")</f>
        <v>#VALUE!</v>
      </c>
      <c r="HH18" t="e">
        <f>AND(Sheet1!Q71,"AAAAAEhfv9c=")</f>
        <v>#VALUE!</v>
      </c>
      <c r="HI18" t="e">
        <f>AND(Sheet1!R71,"AAAAAEhfv9g=")</f>
        <v>#VALUE!</v>
      </c>
      <c r="HJ18" t="e">
        <f>AND(Sheet1!S71,"AAAAAEhfv9k=")</f>
        <v>#VALUE!</v>
      </c>
      <c r="HK18" t="e">
        <f>AND(Sheet1!T71,"AAAAAEhfv9o=")</f>
        <v>#VALUE!</v>
      </c>
      <c r="HL18" t="e">
        <f>AND(Sheet1!U71,"AAAAAEhfv9s=")</f>
        <v>#VALUE!</v>
      </c>
      <c r="HM18" t="e">
        <f>AND(Sheet1!V71,"AAAAAEhfv9w=")</f>
        <v>#VALUE!</v>
      </c>
      <c r="HN18" t="e">
        <f>AND(Sheet1!W71,"AAAAAEhfv90=")</f>
        <v>#VALUE!</v>
      </c>
      <c r="HO18" t="e">
        <f>AND(Sheet1!X71,"AAAAAEhfv94=")</f>
        <v>#VALUE!</v>
      </c>
      <c r="HP18" t="e">
        <f>AND(Sheet1!Y71,"AAAAAEhfv98=")</f>
        <v>#VALUE!</v>
      </c>
      <c r="HQ18" t="e">
        <f>AND(Sheet1!Z71,"AAAAAEhfv+A=")</f>
        <v>#VALUE!</v>
      </c>
      <c r="HR18" t="e">
        <f>AND(Sheet1!AA71,"AAAAAEhfv+E=")</f>
        <v>#VALUE!</v>
      </c>
      <c r="HS18" t="e">
        <f>AND(Sheet1!AB71,"AAAAAEhfv+I=")</f>
        <v>#VALUE!</v>
      </c>
      <c r="HT18" t="e">
        <f>AND(Sheet1!AC71,"AAAAAEhfv+M=")</f>
        <v>#VALUE!</v>
      </c>
      <c r="HU18" t="e">
        <f>AND(Sheet1!AD71,"AAAAAEhfv+Q=")</f>
        <v>#VALUE!</v>
      </c>
      <c r="HV18" t="e">
        <f>AND(Sheet1!AE71,"AAAAAEhfv+U=")</f>
        <v>#VALUE!</v>
      </c>
      <c r="HW18" t="e">
        <f>AND(Sheet1!AF71,"AAAAAEhfv+Y=")</f>
        <v>#VALUE!</v>
      </c>
      <c r="HX18" t="e">
        <f>AND(Sheet1!AG71,"AAAAAEhfv+c=")</f>
        <v>#VALUE!</v>
      </c>
      <c r="HY18" t="e">
        <f>AND(Sheet1!AH71,"AAAAAEhfv+g=")</f>
        <v>#VALUE!</v>
      </c>
      <c r="HZ18" t="e">
        <f>AND(Sheet1!AI71,"AAAAAEhfv+k=")</f>
        <v>#VALUE!</v>
      </c>
      <c r="IA18" t="e">
        <f>AND(Sheet1!AJ71,"AAAAAEhfv+o=")</f>
        <v>#VALUE!</v>
      </c>
      <c r="IB18" t="e">
        <f>AND(Sheet1!AK71,"AAAAAEhfv+s=")</f>
        <v>#VALUE!</v>
      </c>
      <c r="IC18" t="e">
        <f>AND(Sheet1!AL71,"AAAAAEhfv+w=")</f>
        <v>#VALUE!</v>
      </c>
      <c r="ID18" t="e">
        <f>AND(Sheet1!AM71,"AAAAAEhfv+0=")</f>
        <v>#VALUE!</v>
      </c>
      <c r="IE18" t="e">
        <f>AND(Sheet1!AN71,"AAAAAEhfv+4=")</f>
        <v>#VALUE!</v>
      </c>
      <c r="IF18" t="e">
        <f>AND(Sheet1!AO71,"AAAAAEhfv+8=")</f>
        <v>#VALUE!</v>
      </c>
      <c r="IG18" t="e">
        <f>AND(Sheet1!AP71,"AAAAAEhfv/A=")</f>
        <v>#VALUE!</v>
      </c>
      <c r="IH18" t="e">
        <f>AND(Sheet1!AQ71,"AAAAAEhfv/E=")</f>
        <v>#VALUE!</v>
      </c>
      <c r="II18" t="e">
        <f>AND(Sheet1!AR71,"AAAAAEhfv/I=")</f>
        <v>#VALUE!</v>
      </c>
      <c r="IJ18" t="e">
        <f>AND(Sheet1!AS71,"AAAAAEhfv/M=")</f>
        <v>#VALUE!</v>
      </c>
      <c r="IK18" t="e">
        <f>AND(Sheet1!AT71,"AAAAAEhfv/Q=")</f>
        <v>#VALUE!</v>
      </c>
      <c r="IL18" t="e">
        <f>AND(Sheet1!AU71,"AAAAAEhfv/U=")</f>
        <v>#VALUE!</v>
      </c>
      <c r="IM18" t="e">
        <f>AND(Sheet1!AV71,"AAAAAEhfv/Y=")</f>
        <v>#VALUE!</v>
      </c>
      <c r="IN18" t="e">
        <f>AND(Sheet1!AW71,"AAAAAEhfv/c=")</f>
        <v>#VALUE!</v>
      </c>
      <c r="IO18" t="e">
        <f>AND(Sheet1!AX71,"AAAAAEhfv/g=")</f>
        <v>#VALUE!</v>
      </c>
      <c r="IP18" t="e">
        <f>AND(Sheet1!AY71,"AAAAAEhfv/k=")</f>
        <v>#VALUE!</v>
      </c>
      <c r="IQ18" t="e">
        <f>AND(Sheet1!AZ71,"AAAAAEhfv/o=")</f>
        <v>#VALUE!</v>
      </c>
      <c r="IR18" t="e">
        <f>AND(Sheet1!BA71,"AAAAAEhfv/s=")</f>
        <v>#VALUE!</v>
      </c>
      <c r="IS18" t="e">
        <f>AND(Sheet1!BB71,"AAAAAEhfv/w=")</f>
        <v>#VALUE!</v>
      </c>
      <c r="IT18" t="e">
        <f>AND(Sheet1!BC71,"AAAAAEhfv/0=")</f>
        <v>#VALUE!</v>
      </c>
      <c r="IU18" t="e">
        <f>AND(Sheet1!BD71,"AAAAAEhfv/4=")</f>
        <v>#VALUE!</v>
      </c>
      <c r="IV18" t="e">
        <f>AND(Sheet1!BE71,"AAAAAEhfv/8=")</f>
        <v>#VALUE!</v>
      </c>
    </row>
    <row r="19" spans="1:256" ht="12.75">
      <c r="A19" t="e">
        <f>AND(Sheet1!BF71,"AAAAADi+/wA=")</f>
        <v>#VALUE!</v>
      </c>
      <c r="B19" t="e">
        <f>AND(Sheet1!BG71,"AAAAADi+/wE=")</f>
        <v>#VALUE!</v>
      </c>
      <c r="C19" t="e">
        <f>AND(Sheet1!BH71,"AAAAADi+/wI=")</f>
        <v>#VALUE!</v>
      </c>
      <c r="D19" t="e">
        <f>AND(Sheet1!BI71,"AAAAADi+/wM=")</f>
        <v>#VALUE!</v>
      </c>
      <c r="E19" t="e">
        <f>AND(Sheet1!BJ71,"AAAAADi+/wQ=")</f>
        <v>#VALUE!</v>
      </c>
      <c r="F19" t="e">
        <f>AND(Sheet1!BK71,"AAAAADi+/wU=")</f>
        <v>#VALUE!</v>
      </c>
      <c r="G19" t="e">
        <f>AND(Sheet1!BL71,"AAAAADi+/wY=")</f>
        <v>#VALUE!</v>
      </c>
      <c r="H19">
        <f>IF(Sheet1!72:72,"AAAAADi+/wc=",0)</f>
        <v>0</v>
      </c>
      <c r="I19" t="e">
        <f>AND(Sheet1!A72,"AAAAADi+/wg=")</f>
        <v>#VALUE!</v>
      </c>
      <c r="J19" t="e">
        <f>AND(Sheet1!B72,"AAAAADi+/wk=")</f>
        <v>#VALUE!</v>
      </c>
      <c r="K19" t="e">
        <f>AND(Sheet1!C72,"AAAAADi+/wo=")</f>
        <v>#VALUE!</v>
      </c>
      <c r="L19" t="e">
        <f>AND(Sheet1!D72,"AAAAADi+/ws=")</f>
        <v>#VALUE!</v>
      </c>
      <c r="M19" t="e">
        <f>AND(Sheet1!E72,"AAAAADi+/ww=")</f>
        <v>#VALUE!</v>
      </c>
      <c r="N19" t="e">
        <f>AND(Sheet1!F72,"AAAAADi+/w0=")</f>
        <v>#VALUE!</v>
      </c>
      <c r="O19" t="e">
        <f>AND(Sheet1!G72,"AAAAADi+/w4=")</f>
        <v>#VALUE!</v>
      </c>
      <c r="P19" t="e">
        <f>AND(Sheet1!H72,"AAAAADi+/w8=")</f>
        <v>#VALUE!</v>
      </c>
      <c r="Q19" t="e">
        <f>AND(Sheet1!I72,"AAAAADi+/xA=")</f>
        <v>#VALUE!</v>
      </c>
      <c r="R19" t="e">
        <f>AND(Sheet1!J72,"AAAAADi+/xE=")</f>
        <v>#VALUE!</v>
      </c>
      <c r="S19" t="e">
        <f>AND(Sheet1!K72,"AAAAADi+/xI=")</f>
        <v>#VALUE!</v>
      </c>
      <c r="T19" t="e">
        <f>AND(Sheet1!L72,"AAAAADi+/xM=")</f>
        <v>#VALUE!</v>
      </c>
      <c r="U19" t="e">
        <f>AND(Sheet1!M72,"AAAAADi+/xQ=")</f>
        <v>#VALUE!</v>
      </c>
      <c r="V19" t="e">
        <f>AND(Sheet1!N72,"AAAAADi+/xU=")</f>
        <v>#VALUE!</v>
      </c>
      <c r="W19" t="e">
        <f>AND(Sheet1!O72,"AAAAADi+/xY=")</f>
        <v>#VALUE!</v>
      </c>
      <c r="X19" t="e">
        <f>AND(Sheet1!P72,"AAAAADi+/xc=")</f>
        <v>#VALUE!</v>
      </c>
      <c r="Y19" t="e">
        <f>AND(Sheet1!Q72,"AAAAADi+/xg=")</f>
        <v>#VALUE!</v>
      </c>
      <c r="Z19" t="e">
        <f>AND(Sheet1!R72,"AAAAADi+/xk=")</f>
        <v>#VALUE!</v>
      </c>
      <c r="AA19" t="e">
        <f>AND(Sheet1!S72,"AAAAADi+/xo=")</f>
        <v>#VALUE!</v>
      </c>
      <c r="AB19" t="e">
        <f>AND(Sheet1!T72,"AAAAADi+/xs=")</f>
        <v>#VALUE!</v>
      </c>
      <c r="AC19" t="e">
        <f>AND(Sheet1!U72,"AAAAADi+/xw=")</f>
        <v>#VALUE!</v>
      </c>
      <c r="AD19" t="e">
        <f>AND(Sheet1!V72,"AAAAADi+/x0=")</f>
        <v>#VALUE!</v>
      </c>
      <c r="AE19" t="e">
        <f>AND(Sheet1!W72,"AAAAADi+/x4=")</f>
        <v>#VALUE!</v>
      </c>
      <c r="AF19" t="e">
        <f>AND(Sheet1!X72,"AAAAADi+/x8=")</f>
        <v>#VALUE!</v>
      </c>
      <c r="AG19" t="e">
        <f>AND(Sheet1!Y72,"AAAAADi+/yA=")</f>
        <v>#VALUE!</v>
      </c>
      <c r="AH19" t="e">
        <f>AND(Sheet1!Z72,"AAAAADi+/yE=")</f>
        <v>#VALUE!</v>
      </c>
      <c r="AI19" t="e">
        <f>AND(Sheet1!AA72,"AAAAADi+/yI=")</f>
        <v>#VALUE!</v>
      </c>
      <c r="AJ19" t="e">
        <f>AND(Sheet1!AB72,"AAAAADi+/yM=")</f>
        <v>#VALUE!</v>
      </c>
      <c r="AK19" t="e">
        <f>AND(Sheet1!AC72,"AAAAADi+/yQ=")</f>
        <v>#VALUE!</v>
      </c>
      <c r="AL19" t="e">
        <f>AND(Sheet1!AD72,"AAAAADi+/yU=")</f>
        <v>#VALUE!</v>
      </c>
      <c r="AM19" t="e">
        <f>AND(Sheet1!AE72,"AAAAADi+/yY=")</f>
        <v>#VALUE!</v>
      </c>
      <c r="AN19" t="e">
        <f>AND(Sheet1!AF72,"AAAAADi+/yc=")</f>
        <v>#VALUE!</v>
      </c>
      <c r="AO19" t="e">
        <f>AND(Sheet1!AG72,"AAAAADi+/yg=")</f>
        <v>#VALUE!</v>
      </c>
      <c r="AP19" t="e">
        <f>AND(Sheet1!AH72,"AAAAADi+/yk=")</f>
        <v>#VALUE!</v>
      </c>
      <c r="AQ19" t="e">
        <f>AND(Sheet1!AI72,"AAAAADi+/yo=")</f>
        <v>#VALUE!</v>
      </c>
      <c r="AR19" t="e">
        <f>AND(Sheet1!AJ72,"AAAAADi+/ys=")</f>
        <v>#VALUE!</v>
      </c>
      <c r="AS19" t="e">
        <f>AND(Sheet1!AK72,"AAAAADi+/yw=")</f>
        <v>#VALUE!</v>
      </c>
      <c r="AT19" t="e">
        <f>AND(Sheet1!AL72,"AAAAADi+/y0=")</f>
        <v>#VALUE!</v>
      </c>
      <c r="AU19" t="e">
        <f>AND(Sheet1!AM72,"AAAAADi+/y4=")</f>
        <v>#VALUE!</v>
      </c>
      <c r="AV19" t="e">
        <f>AND(Sheet1!AN72,"AAAAADi+/y8=")</f>
        <v>#VALUE!</v>
      </c>
      <c r="AW19" t="e">
        <f>AND(Sheet1!AO72,"AAAAADi+/zA=")</f>
        <v>#VALUE!</v>
      </c>
      <c r="AX19" t="e">
        <f>AND(Sheet1!AP72,"AAAAADi+/zE=")</f>
        <v>#VALUE!</v>
      </c>
      <c r="AY19" t="e">
        <f>AND(Sheet1!AQ72,"AAAAADi+/zI=")</f>
        <v>#VALUE!</v>
      </c>
      <c r="AZ19" t="e">
        <f>AND(Sheet1!AR72,"AAAAADi+/zM=")</f>
        <v>#VALUE!</v>
      </c>
      <c r="BA19" t="e">
        <f>AND(Sheet1!AS72,"AAAAADi+/zQ=")</f>
        <v>#VALUE!</v>
      </c>
      <c r="BB19" t="e">
        <f>AND(Sheet1!AT72,"AAAAADi+/zU=")</f>
        <v>#VALUE!</v>
      </c>
      <c r="BC19" t="e">
        <f>AND(Sheet1!AU72,"AAAAADi+/zY=")</f>
        <v>#VALUE!</v>
      </c>
      <c r="BD19" t="e">
        <f>AND(Sheet1!AV72,"AAAAADi+/zc=")</f>
        <v>#VALUE!</v>
      </c>
      <c r="BE19" t="e">
        <f>AND(Sheet1!AW72,"AAAAADi+/zg=")</f>
        <v>#VALUE!</v>
      </c>
      <c r="BF19" t="e">
        <f>AND(Sheet1!AX72,"AAAAADi+/zk=")</f>
        <v>#VALUE!</v>
      </c>
      <c r="BG19" t="e">
        <f>AND(Sheet1!AY72,"AAAAADi+/zo=")</f>
        <v>#VALUE!</v>
      </c>
      <c r="BH19" t="e">
        <f>AND(Sheet1!AZ72,"AAAAADi+/zs=")</f>
        <v>#VALUE!</v>
      </c>
      <c r="BI19" t="e">
        <f>AND(Sheet1!BA72,"AAAAADi+/zw=")</f>
        <v>#VALUE!</v>
      </c>
      <c r="BJ19" t="e">
        <f>AND(Sheet1!BB72,"AAAAADi+/z0=")</f>
        <v>#VALUE!</v>
      </c>
      <c r="BK19" t="e">
        <f>AND(Sheet1!BC72,"AAAAADi+/z4=")</f>
        <v>#VALUE!</v>
      </c>
      <c r="BL19" t="e">
        <f>AND(Sheet1!BD72,"AAAAADi+/z8=")</f>
        <v>#VALUE!</v>
      </c>
      <c r="BM19" t="e">
        <f>AND(Sheet1!BE72,"AAAAADi+/0A=")</f>
        <v>#VALUE!</v>
      </c>
      <c r="BN19" t="e">
        <f>AND(Sheet1!BF72,"AAAAADi+/0E=")</f>
        <v>#VALUE!</v>
      </c>
      <c r="BO19" t="e">
        <f>AND(Sheet1!BG72,"AAAAADi+/0I=")</f>
        <v>#VALUE!</v>
      </c>
      <c r="BP19" t="e">
        <f>AND(Sheet1!BH72,"AAAAADi+/0M=")</f>
        <v>#VALUE!</v>
      </c>
      <c r="BQ19" t="e">
        <f>AND(Sheet1!BI72,"AAAAADi+/0Q=")</f>
        <v>#VALUE!</v>
      </c>
      <c r="BR19" t="e">
        <f>AND(Sheet1!BJ72,"AAAAADi+/0U=")</f>
        <v>#VALUE!</v>
      </c>
      <c r="BS19" t="e">
        <f>AND(Sheet1!BK72,"AAAAADi+/0Y=")</f>
        <v>#VALUE!</v>
      </c>
      <c r="BT19" t="e">
        <f>AND(Sheet1!BL72,"AAAAADi+/0c=")</f>
        <v>#VALUE!</v>
      </c>
      <c r="BU19">
        <f>IF(Sheet1!73:73,"AAAAADi+/0g=",0)</f>
        <v>0</v>
      </c>
      <c r="BV19" t="e">
        <f>AND(Sheet1!A73,"AAAAADi+/0k=")</f>
        <v>#VALUE!</v>
      </c>
      <c r="BW19" t="e">
        <f>AND(Sheet1!B73,"AAAAADi+/0o=")</f>
        <v>#VALUE!</v>
      </c>
      <c r="BX19" t="e">
        <f>AND(Sheet1!C73,"AAAAADi+/0s=")</f>
        <v>#VALUE!</v>
      </c>
      <c r="BY19" t="e">
        <f>AND(Sheet1!D73,"AAAAADi+/0w=")</f>
        <v>#VALUE!</v>
      </c>
      <c r="BZ19" t="e">
        <f>AND(Sheet1!E73,"AAAAADi+/00=")</f>
        <v>#VALUE!</v>
      </c>
      <c r="CA19" t="e">
        <f>AND(Sheet1!F73,"AAAAADi+/04=")</f>
        <v>#VALUE!</v>
      </c>
      <c r="CB19" t="e">
        <f>AND(Sheet1!G73,"AAAAADi+/08=")</f>
        <v>#VALUE!</v>
      </c>
      <c r="CC19" t="e">
        <f>AND(Sheet1!H73,"AAAAADi+/1A=")</f>
        <v>#VALUE!</v>
      </c>
      <c r="CD19" t="e">
        <f>AND(Sheet1!I73,"AAAAADi+/1E=")</f>
        <v>#VALUE!</v>
      </c>
      <c r="CE19" t="e">
        <f>AND(Sheet1!J73,"AAAAADi+/1I=")</f>
        <v>#VALUE!</v>
      </c>
      <c r="CF19" t="e">
        <f>AND(Sheet1!K73,"AAAAADi+/1M=")</f>
        <v>#VALUE!</v>
      </c>
      <c r="CG19" t="e">
        <f>AND(Sheet1!L73,"AAAAADi+/1Q=")</f>
        <v>#VALUE!</v>
      </c>
      <c r="CH19" t="e">
        <f>AND(Sheet1!M73,"AAAAADi+/1U=")</f>
        <v>#VALUE!</v>
      </c>
      <c r="CI19" t="e">
        <f>AND(Sheet1!N73,"AAAAADi+/1Y=")</f>
        <v>#VALUE!</v>
      </c>
      <c r="CJ19" t="e">
        <f>AND(Sheet1!O73,"AAAAADi+/1c=")</f>
        <v>#VALUE!</v>
      </c>
      <c r="CK19" t="e">
        <f>AND(Sheet1!P73,"AAAAADi+/1g=")</f>
        <v>#VALUE!</v>
      </c>
      <c r="CL19" t="e">
        <f>AND(Sheet1!Q73,"AAAAADi+/1k=")</f>
        <v>#VALUE!</v>
      </c>
      <c r="CM19" t="e">
        <f>AND(Sheet1!R73,"AAAAADi+/1o=")</f>
        <v>#VALUE!</v>
      </c>
      <c r="CN19" t="e">
        <f>AND(Sheet1!S73,"AAAAADi+/1s=")</f>
        <v>#VALUE!</v>
      </c>
      <c r="CO19" t="e">
        <f>AND(Sheet1!T73,"AAAAADi+/1w=")</f>
        <v>#VALUE!</v>
      </c>
      <c r="CP19" t="e">
        <f>AND(Sheet1!U73,"AAAAADi+/10=")</f>
        <v>#VALUE!</v>
      </c>
      <c r="CQ19" t="e">
        <f>AND(Sheet1!V73,"AAAAADi+/14=")</f>
        <v>#VALUE!</v>
      </c>
      <c r="CR19" t="e">
        <f>AND(Sheet1!W73,"AAAAADi+/18=")</f>
        <v>#VALUE!</v>
      </c>
      <c r="CS19" t="e">
        <f>AND(Sheet1!X73,"AAAAADi+/2A=")</f>
        <v>#VALUE!</v>
      </c>
      <c r="CT19" t="e">
        <f>AND(Sheet1!Y73,"AAAAADi+/2E=")</f>
        <v>#VALUE!</v>
      </c>
      <c r="CU19" t="e">
        <f>AND(Sheet1!Z73,"AAAAADi+/2I=")</f>
        <v>#VALUE!</v>
      </c>
      <c r="CV19" t="e">
        <f>AND(Sheet1!AA73,"AAAAADi+/2M=")</f>
        <v>#VALUE!</v>
      </c>
      <c r="CW19" t="e">
        <f>AND(Sheet1!AB73,"AAAAADi+/2Q=")</f>
        <v>#VALUE!</v>
      </c>
      <c r="CX19" t="e">
        <f>AND(Sheet1!AC73,"AAAAADi+/2U=")</f>
        <v>#VALUE!</v>
      </c>
      <c r="CY19" t="e">
        <f>AND(Sheet1!AD73,"AAAAADi+/2Y=")</f>
        <v>#VALUE!</v>
      </c>
      <c r="CZ19" t="e">
        <f>AND(Sheet1!AE73,"AAAAADi+/2c=")</f>
        <v>#VALUE!</v>
      </c>
      <c r="DA19" t="e">
        <f>AND(Sheet1!AF73,"AAAAADi+/2g=")</f>
        <v>#VALUE!</v>
      </c>
      <c r="DB19" t="e">
        <f>AND(Sheet1!AG73,"AAAAADi+/2k=")</f>
        <v>#VALUE!</v>
      </c>
      <c r="DC19" t="e">
        <f>AND(Sheet1!AH73,"AAAAADi+/2o=")</f>
        <v>#VALUE!</v>
      </c>
      <c r="DD19" t="e">
        <f>AND(Sheet1!AI73,"AAAAADi+/2s=")</f>
        <v>#VALUE!</v>
      </c>
      <c r="DE19" t="e">
        <f>AND(Sheet1!AJ73,"AAAAADi+/2w=")</f>
        <v>#VALUE!</v>
      </c>
      <c r="DF19" t="e">
        <f>AND(Sheet1!AK73,"AAAAADi+/20=")</f>
        <v>#VALUE!</v>
      </c>
      <c r="DG19" t="e">
        <f>AND(Sheet1!AL73,"AAAAADi+/24=")</f>
        <v>#VALUE!</v>
      </c>
      <c r="DH19" t="e">
        <f>AND(Sheet1!AM73,"AAAAADi+/28=")</f>
        <v>#VALUE!</v>
      </c>
      <c r="DI19" t="e">
        <f>AND(Sheet1!AN73,"AAAAADi+/3A=")</f>
        <v>#VALUE!</v>
      </c>
      <c r="DJ19" t="e">
        <f>AND(Sheet1!AO73,"AAAAADi+/3E=")</f>
        <v>#VALUE!</v>
      </c>
      <c r="DK19" t="e">
        <f>AND(Sheet1!AP73,"AAAAADi+/3I=")</f>
        <v>#VALUE!</v>
      </c>
      <c r="DL19" t="e">
        <f>AND(Sheet1!AQ73,"AAAAADi+/3M=")</f>
        <v>#VALUE!</v>
      </c>
      <c r="DM19" t="e">
        <f>AND(Sheet1!AR73,"AAAAADi+/3Q=")</f>
        <v>#VALUE!</v>
      </c>
      <c r="DN19" t="e">
        <f>AND(Sheet1!AS73,"AAAAADi+/3U=")</f>
        <v>#VALUE!</v>
      </c>
      <c r="DO19" t="e">
        <f>AND(Sheet1!AT73,"AAAAADi+/3Y=")</f>
        <v>#VALUE!</v>
      </c>
      <c r="DP19" t="e">
        <f>AND(Sheet1!AU73,"AAAAADi+/3c=")</f>
        <v>#VALUE!</v>
      </c>
      <c r="DQ19" t="e">
        <f>AND(Sheet1!AV73,"AAAAADi+/3g=")</f>
        <v>#VALUE!</v>
      </c>
      <c r="DR19" t="e">
        <f>AND(Sheet1!AW73,"AAAAADi+/3k=")</f>
        <v>#VALUE!</v>
      </c>
      <c r="DS19" t="e">
        <f>AND(Sheet1!AX73,"AAAAADi+/3o=")</f>
        <v>#VALUE!</v>
      </c>
      <c r="DT19" t="e">
        <f>AND(Sheet1!AY73,"AAAAADi+/3s=")</f>
        <v>#VALUE!</v>
      </c>
      <c r="DU19" t="e">
        <f>AND(Sheet1!AZ73,"AAAAADi+/3w=")</f>
        <v>#VALUE!</v>
      </c>
      <c r="DV19" t="e">
        <f>AND(Sheet1!BA73,"AAAAADi+/30=")</f>
        <v>#VALUE!</v>
      </c>
      <c r="DW19" t="e">
        <f>AND(Sheet1!BB73,"AAAAADi+/34=")</f>
        <v>#VALUE!</v>
      </c>
      <c r="DX19" t="e">
        <f>AND(Sheet1!BC73,"AAAAADi+/38=")</f>
        <v>#VALUE!</v>
      </c>
      <c r="DY19" t="e">
        <f>AND(Sheet1!BD73,"AAAAADi+/4A=")</f>
        <v>#VALUE!</v>
      </c>
      <c r="DZ19" t="e">
        <f>AND(Sheet1!BE73,"AAAAADi+/4E=")</f>
        <v>#VALUE!</v>
      </c>
      <c r="EA19" t="e">
        <f>AND(Sheet1!BF73,"AAAAADi+/4I=")</f>
        <v>#VALUE!</v>
      </c>
      <c r="EB19" t="e">
        <f>AND(Sheet1!BG73,"AAAAADi+/4M=")</f>
        <v>#VALUE!</v>
      </c>
      <c r="EC19" t="e">
        <f>AND(Sheet1!BH73,"AAAAADi+/4Q=")</f>
        <v>#VALUE!</v>
      </c>
      <c r="ED19" t="e">
        <f>AND(Sheet1!BI73,"AAAAADi+/4U=")</f>
        <v>#VALUE!</v>
      </c>
      <c r="EE19" t="e">
        <f>AND(Sheet1!BJ73,"AAAAADi+/4Y=")</f>
        <v>#VALUE!</v>
      </c>
      <c r="EF19" t="e">
        <f>AND(Sheet1!BK73,"AAAAADi+/4c=")</f>
        <v>#VALUE!</v>
      </c>
      <c r="EG19" t="e">
        <f>AND(Sheet1!BL73,"AAAAADi+/4g=")</f>
        <v>#VALUE!</v>
      </c>
      <c r="EH19">
        <f>IF(Sheet1!74:74,"AAAAADi+/4k=",0)</f>
        <v>0</v>
      </c>
      <c r="EI19" t="e">
        <f>AND(Sheet1!A74,"AAAAADi+/4o=")</f>
        <v>#VALUE!</v>
      </c>
      <c r="EJ19" t="e">
        <f>AND(Sheet1!B74,"AAAAADi+/4s=")</f>
        <v>#VALUE!</v>
      </c>
      <c r="EK19" t="e">
        <f>AND(Sheet1!C74,"AAAAADi+/4w=")</f>
        <v>#VALUE!</v>
      </c>
      <c r="EL19" t="e">
        <f>AND(Sheet1!D74,"AAAAADi+/40=")</f>
        <v>#VALUE!</v>
      </c>
      <c r="EM19" t="e">
        <f>AND(Sheet1!E74,"AAAAADi+/44=")</f>
        <v>#VALUE!</v>
      </c>
      <c r="EN19" t="e">
        <f>AND(Sheet1!F74,"AAAAADi+/48=")</f>
        <v>#VALUE!</v>
      </c>
      <c r="EO19" t="e">
        <f>AND(Sheet1!G74,"AAAAADi+/5A=")</f>
        <v>#VALUE!</v>
      </c>
      <c r="EP19" t="e">
        <f>AND(Sheet1!H74,"AAAAADi+/5E=")</f>
        <v>#VALUE!</v>
      </c>
      <c r="EQ19" t="e">
        <f>AND(Sheet1!I74,"AAAAADi+/5I=")</f>
        <v>#VALUE!</v>
      </c>
      <c r="ER19" t="e">
        <f>AND(Sheet1!J74,"AAAAADi+/5M=")</f>
        <v>#VALUE!</v>
      </c>
      <c r="ES19" t="e">
        <f>AND(Sheet1!K74,"AAAAADi+/5Q=")</f>
        <v>#VALUE!</v>
      </c>
      <c r="ET19" t="e">
        <f>AND(Sheet1!L74,"AAAAADi+/5U=")</f>
        <v>#VALUE!</v>
      </c>
      <c r="EU19" t="e">
        <f>AND(Sheet1!M74,"AAAAADi+/5Y=")</f>
        <v>#VALUE!</v>
      </c>
      <c r="EV19" t="e">
        <f>AND(Sheet1!N74,"AAAAADi+/5c=")</f>
        <v>#VALUE!</v>
      </c>
      <c r="EW19" t="e">
        <f>AND(Sheet1!O74,"AAAAADi+/5g=")</f>
        <v>#VALUE!</v>
      </c>
      <c r="EX19" t="e">
        <f>AND(Sheet1!P74,"AAAAADi+/5k=")</f>
        <v>#VALUE!</v>
      </c>
      <c r="EY19" t="e">
        <f>AND(Sheet1!Q74,"AAAAADi+/5o=")</f>
        <v>#VALUE!</v>
      </c>
      <c r="EZ19" t="e">
        <f>AND(Sheet1!R74,"AAAAADi+/5s=")</f>
        <v>#VALUE!</v>
      </c>
      <c r="FA19" t="e">
        <f>AND(Sheet1!S74,"AAAAADi+/5w=")</f>
        <v>#VALUE!</v>
      </c>
      <c r="FB19" t="e">
        <f>AND(Sheet1!T74,"AAAAADi+/50=")</f>
        <v>#VALUE!</v>
      </c>
      <c r="FC19" t="e">
        <f>AND(Sheet1!U74,"AAAAADi+/54=")</f>
        <v>#VALUE!</v>
      </c>
      <c r="FD19" t="e">
        <f>AND(Sheet1!V74,"AAAAADi+/58=")</f>
        <v>#VALUE!</v>
      </c>
      <c r="FE19" t="e">
        <f>AND(Sheet1!W74,"AAAAADi+/6A=")</f>
        <v>#VALUE!</v>
      </c>
      <c r="FF19" t="e">
        <f>AND(Sheet1!X74,"AAAAADi+/6E=")</f>
        <v>#VALUE!</v>
      </c>
      <c r="FG19" t="e">
        <f>AND(Sheet1!Y74,"AAAAADi+/6I=")</f>
        <v>#VALUE!</v>
      </c>
      <c r="FH19" t="e">
        <f>AND(Sheet1!Z74,"AAAAADi+/6M=")</f>
        <v>#VALUE!</v>
      </c>
      <c r="FI19" t="e">
        <f>AND(Sheet1!AA74,"AAAAADi+/6Q=")</f>
        <v>#VALUE!</v>
      </c>
      <c r="FJ19" t="e">
        <f>AND(Sheet1!AB74,"AAAAADi+/6U=")</f>
        <v>#VALUE!</v>
      </c>
      <c r="FK19" t="e">
        <f>AND(Sheet1!AC74,"AAAAADi+/6Y=")</f>
        <v>#VALUE!</v>
      </c>
      <c r="FL19" t="e">
        <f>AND(Sheet1!AD74,"AAAAADi+/6c=")</f>
        <v>#VALUE!</v>
      </c>
      <c r="FM19" t="e">
        <f>AND(Sheet1!AE74,"AAAAADi+/6g=")</f>
        <v>#VALUE!</v>
      </c>
      <c r="FN19" t="e">
        <f>AND(Sheet1!AF74,"AAAAADi+/6k=")</f>
        <v>#VALUE!</v>
      </c>
      <c r="FO19" t="e">
        <f>AND(Sheet1!AG74,"AAAAADi+/6o=")</f>
        <v>#VALUE!</v>
      </c>
      <c r="FP19" t="e">
        <f>AND(Sheet1!AH74,"AAAAADi+/6s=")</f>
        <v>#VALUE!</v>
      </c>
      <c r="FQ19" t="e">
        <f>AND(Sheet1!AI74,"AAAAADi+/6w=")</f>
        <v>#VALUE!</v>
      </c>
      <c r="FR19" t="e">
        <f>AND(Sheet1!AJ74,"AAAAADi+/60=")</f>
        <v>#VALUE!</v>
      </c>
      <c r="FS19" t="e">
        <f>AND(Sheet1!AK74,"AAAAADi+/64=")</f>
        <v>#VALUE!</v>
      </c>
      <c r="FT19" t="e">
        <f>AND(Sheet1!AL74,"AAAAADi+/68=")</f>
        <v>#VALUE!</v>
      </c>
      <c r="FU19" t="e">
        <f>AND(Sheet1!AM74,"AAAAADi+/7A=")</f>
        <v>#VALUE!</v>
      </c>
      <c r="FV19" t="e">
        <f>AND(Sheet1!AN74,"AAAAADi+/7E=")</f>
        <v>#VALUE!</v>
      </c>
      <c r="FW19" t="e">
        <f>AND(Sheet1!AO74,"AAAAADi+/7I=")</f>
        <v>#VALUE!</v>
      </c>
      <c r="FX19" t="e">
        <f>AND(Sheet1!AP74,"AAAAADi+/7M=")</f>
        <v>#VALUE!</v>
      </c>
      <c r="FY19" t="e">
        <f>AND(Sheet1!AQ74,"AAAAADi+/7Q=")</f>
        <v>#VALUE!</v>
      </c>
      <c r="FZ19" t="e">
        <f>AND(Sheet1!AR74,"AAAAADi+/7U=")</f>
        <v>#VALUE!</v>
      </c>
      <c r="GA19" t="e">
        <f>AND(Sheet1!AS74,"AAAAADi+/7Y=")</f>
        <v>#VALUE!</v>
      </c>
      <c r="GB19" t="e">
        <f>AND(Sheet1!AT74,"AAAAADi+/7c=")</f>
        <v>#VALUE!</v>
      </c>
      <c r="GC19" t="e">
        <f>AND(Sheet1!AU74,"AAAAADi+/7g=")</f>
        <v>#VALUE!</v>
      </c>
      <c r="GD19" t="e">
        <f>AND(Sheet1!AV74,"AAAAADi+/7k=")</f>
        <v>#VALUE!</v>
      </c>
      <c r="GE19" t="e">
        <f>AND(Sheet1!AW74,"AAAAADi+/7o=")</f>
        <v>#VALUE!</v>
      </c>
      <c r="GF19" t="e">
        <f>AND(Sheet1!AX74,"AAAAADi+/7s=")</f>
        <v>#VALUE!</v>
      </c>
      <c r="GG19" t="e">
        <f>AND(Sheet1!AY74,"AAAAADi+/7w=")</f>
        <v>#VALUE!</v>
      </c>
      <c r="GH19" t="e">
        <f>AND(Sheet1!AZ74,"AAAAADi+/70=")</f>
        <v>#VALUE!</v>
      </c>
      <c r="GI19" t="e">
        <f>AND(Sheet1!BA74,"AAAAADi+/74=")</f>
        <v>#VALUE!</v>
      </c>
      <c r="GJ19" t="e">
        <f>AND(Sheet1!BB74,"AAAAADi+/78=")</f>
        <v>#VALUE!</v>
      </c>
      <c r="GK19" t="e">
        <f>AND(Sheet1!BC74,"AAAAADi+/8A=")</f>
        <v>#VALUE!</v>
      </c>
      <c r="GL19" t="e">
        <f>AND(Sheet1!BD74,"AAAAADi+/8E=")</f>
        <v>#VALUE!</v>
      </c>
      <c r="GM19" t="e">
        <f>AND(Sheet1!BE74,"AAAAADi+/8I=")</f>
        <v>#VALUE!</v>
      </c>
      <c r="GN19" t="e">
        <f>AND(Sheet1!BF74,"AAAAADi+/8M=")</f>
        <v>#VALUE!</v>
      </c>
      <c r="GO19" t="e">
        <f>AND(Sheet1!BG74,"AAAAADi+/8Q=")</f>
        <v>#VALUE!</v>
      </c>
      <c r="GP19" t="e">
        <f>AND(Sheet1!BH74,"AAAAADi+/8U=")</f>
        <v>#VALUE!</v>
      </c>
      <c r="GQ19" t="e">
        <f>AND(Sheet1!BI74,"AAAAADi+/8Y=")</f>
        <v>#VALUE!</v>
      </c>
      <c r="GR19" t="e">
        <f>AND(Sheet1!BJ74,"AAAAADi+/8c=")</f>
        <v>#VALUE!</v>
      </c>
      <c r="GS19" t="e">
        <f>AND(Sheet1!BK74,"AAAAADi+/8g=")</f>
        <v>#VALUE!</v>
      </c>
      <c r="GT19" t="e">
        <f>AND(Sheet1!BL74,"AAAAADi+/8k=")</f>
        <v>#VALUE!</v>
      </c>
      <c r="GU19">
        <f>IF(Sheet1!A:A,"AAAAADi+/8o=",0)</f>
        <v>0</v>
      </c>
      <c r="GV19">
        <f>IF(Sheet1!B:B,"AAAAADi+/8s=",0)</f>
        <v>0</v>
      </c>
      <c r="GW19">
        <f>IF(Sheet1!C:C,"AAAAADi+/8w=",0)</f>
        <v>0</v>
      </c>
      <c r="GX19">
        <f>IF(Sheet1!D:D,"AAAAADi+/80=",0)</f>
        <v>0</v>
      </c>
      <c r="GY19">
        <f>IF(Sheet1!E:E,"AAAAADi+/84=",0)</f>
        <v>0</v>
      </c>
      <c r="GZ19">
        <f>IF(Sheet1!F:F,"AAAAADi+/88=",0)</f>
        <v>0</v>
      </c>
      <c r="HA19">
        <f>IF(Sheet1!G:G,"AAAAADi+/9A=",0)</f>
        <v>0</v>
      </c>
      <c r="HB19">
        <f>IF(Sheet1!H:H,"AAAAADi+/9E=",0)</f>
        <v>0</v>
      </c>
      <c r="HC19">
        <f>IF(Sheet1!I:I,"AAAAADi+/9I=",0)</f>
        <v>0</v>
      </c>
      <c r="HD19">
        <f>IF(Sheet1!J:J,"AAAAADi+/9M=",0)</f>
        <v>0</v>
      </c>
      <c r="HE19">
        <f>IF(Sheet1!K:K,"AAAAADi+/9Q=",0)</f>
        <v>0</v>
      </c>
      <c r="HF19">
        <f>IF(Sheet1!L:L,"AAAAADi+/9U=",0)</f>
        <v>0</v>
      </c>
      <c r="HG19">
        <f>IF(Sheet1!M:M,"AAAAADi+/9Y=",0)</f>
        <v>0</v>
      </c>
      <c r="HH19">
        <f>IF(Sheet1!N:N,"AAAAADi+/9c=",0)</f>
        <v>0</v>
      </c>
      <c r="HI19">
        <f>IF(Sheet1!O:O,"AAAAADi+/9g=",0)</f>
        <v>0</v>
      </c>
      <c r="HJ19">
        <f>IF(Sheet1!P:P,"AAAAADi+/9k=",0)</f>
        <v>0</v>
      </c>
      <c r="HK19">
        <f>IF(Sheet1!Q:Q,"AAAAADi+/9o=",0)</f>
        <v>0</v>
      </c>
      <c r="HL19">
        <f>IF(Sheet1!R:R,"AAAAADi+/9s=",0)</f>
        <v>0</v>
      </c>
      <c r="HM19">
        <f>IF(Sheet1!S:S,"AAAAADi+/9w=",0)</f>
        <v>0</v>
      </c>
      <c r="HN19">
        <f>IF(Sheet1!T:T,"AAAAADi+/90=",0)</f>
        <v>0</v>
      </c>
      <c r="HO19">
        <f>IF(Sheet1!U:U,"AAAAADi+/94=",0)</f>
        <v>0</v>
      </c>
      <c r="HP19">
        <f>IF(Sheet1!V:V,"AAAAADi+/98=",0)</f>
        <v>0</v>
      </c>
      <c r="HQ19">
        <f>IF(Sheet1!W:W,"AAAAADi+/+A=",0)</f>
        <v>0</v>
      </c>
      <c r="HR19">
        <f>IF(Sheet1!X:X,"AAAAADi+/+E=",0)</f>
        <v>0</v>
      </c>
      <c r="HS19">
        <f>IF(Sheet1!Y:Y,"AAAAADi+/+I=",0)</f>
        <v>0</v>
      </c>
      <c r="HT19">
        <f>IF(Sheet1!Z:Z,"AAAAADi+/+M=",0)</f>
        <v>0</v>
      </c>
      <c r="HU19">
        <f>IF(Sheet1!AA:AA,"AAAAADi+/+Q=",0)</f>
        <v>0</v>
      </c>
      <c r="HV19">
        <f>IF(Sheet1!AB:AB,"AAAAADi+/+U=",0)</f>
        <v>0</v>
      </c>
      <c r="HW19">
        <f>IF(Sheet1!AC:AC,"AAAAADi+/+Y=",0)</f>
        <v>0</v>
      </c>
      <c r="HX19">
        <f>IF(Sheet1!AD:AD,"AAAAADi+/+c=",0)</f>
        <v>0</v>
      </c>
      <c r="HY19">
        <f>IF(Sheet1!AE:AE,"AAAAADi+/+g=",0)</f>
        <v>0</v>
      </c>
      <c r="HZ19">
        <f>IF(Sheet1!AF:AF,"AAAAADi+/+k=",0)</f>
        <v>0</v>
      </c>
      <c r="IA19">
        <f>IF(Sheet1!AG:AG,"AAAAADi+/+o=",0)</f>
        <v>0</v>
      </c>
      <c r="IB19">
        <f>IF(Sheet1!AH:AH,"AAAAADi+/+s=",0)</f>
        <v>0</v>
      </c>
      <c r="IC19">
        <f>IF(Sheet1!AI:AI,"AAAAADi+/+w=",0)</f>
        <v>0</v>
      </c>
      <c r="ID19">
        <f>IF(Sheet1!AJ:AJ,"AAAAADi+/+0=",0)</f>
        <v>0</v>
      </c>
      <c r="IE19">
        <f>IF(Sheet1!AK:AK,"AAAAADi+/+4=",0)</f>
        <v>0</v>
      </c>
      <c r="IF19">
        <f>IF(Sheet1!AL:AL,"AAAAADi+/+8=",0)</f>
        <v>0</v>
      </c>
      <c r="IG19">
        <f>IF(Sheet1!AM:AM,"AAAAADi+//A=",0)</f>
        <v>0</v>
      </c>
      <c r="IH19">
        <f>IF(Sheet1!AN:AN,"AAAAADi+//E=",0)</f>
        <v>0</v>
      </c>
      <c r="II19">
        <f>IF(Sheet1!AO:AO,"AAAAADi+//I=",0)</f>
        <v>0</v>
      </c>
      <c r="IJ19">
        <f>IF(Sheet1!AP:AP,"AAAAADi+//M=",0)</f>
        <v>0</v>
      </c>
      <c r="IK19">
        <f>IF(Sheet1!AQ:AQ,"AAAAADi+//Q=",0)</f>
        <v>0</v>
      </c>
      <c r="IL19">
        <f>IF(Sheet1!AR:AR,"AAAAADi+//U=",0)</f>
        <v>0</v>
      </c>
      <c r="IM19">
        <f>IF(Sheet1!AS:AS,"AAAAADi+//Y=",0)</f>
        <v>0</v>
      </c>
      <c r="IN19">
        <f>IF(Sheet1!AT:AT,"AAAAADi+//c=",0)</f>
        <v>0</v>
      </c>
      <c r="IO19">
        <f>IF(Sheet1!AU:AU,"AAAAADi+//g=",0)</f>
        <v>0</v>
      </c>
      <c r="IP19">
        <f>IF(Sheet1!AV:AV,"AAAAADi+//k=",0)</f>
        <v>0</v>
      </c>
      <c r="IQ19">
        <f>IF(Sheet1!AW:AW,"AAAAADi+//o=",0)</f>
        <v>0</v>
      </c>
      <c r="IR19">
        <f>IF(Sheet1!AX:AX,"AAAAADi+//s=",0)</f>
        <v>0</v>
      </c>
      <c r="IS19">
        <f>IF(Sheet1!AY:AY,"AAAAADi+//w=",0)</f>
        <v>0</v>
      </c>
      <c r="IT19">
        <f>IF(Sheet1!AZ:AZ,"AAAAADi+//0=",0)</f>
        <v>0</v>
      </c>
      <c r="IU19">
        <f>IF(Sheet1!BA:BA,"AAAAADi+//4=",0)</f>
        <v>0</v>
      </c>
      <c r="IV19">
        <f>IF(Sheet1!BB:BB,"AAAAADi+//8=",0)</f>
        <v>0</v>
      </c>
    </row>
    <row r="20" spans="1:19" ht="12.75">
      <c r="A20">
        <f>IF(Sheet1!BC:BC,"AAAAAH/P/QA=",0)</f>
        <v>0</v>
      </c>
      <c r="B20">
        <f>IF(Sheet1!BD:BD,"AAAAAH/P/QE=",0)</f>
        <v>0</v>
      </c>
      <c r="C20">
        <f>IF(Sheet1!BE:BE,"AAAAAH/P/QI=",0)</f>
        <v>0</v>
      </c>
      <c r="D20">
        <f>IF(Sheet1!BF:BF,"AAAAAH/P/QM=",0)</f>
        <v>0</v>
      </c>
      <c r="E20">
        <f>IF(Sheet1!BG:BG,"AAAAAH/P/QQ=",0)</f>
        <v>0</v>
      </c>
      <c r="F20">
        <f>IF(Sheet1!BH:BH,"AAAAAH/P/QU=",0)</f>
        <v>0</v>
      </c>
      <c r="G20">
        <f>IF(Sheet1!BI:BI,"AAAAAH/P/QY=",0)</f>
        <v>0</v>
      </c>
      <c r="H20">
        <f>IF(Sheet1!BJ:BJ,"AAAAAH/P/Qc=",0)</f>
        <v>0</v>
      </c>
      <c r="I20">
        <f>IF(Sheet1!BK:BK,"AAAAAH/P/Qg=",0)</f>
        <v>0</v>
      </c>
      <c r="J20">
        <f>IF(Sheet1!BL:BL,"AAAAAH/P/Qk=",0)</f>
        <v>0</v>
      </c>
      <c r="K20">
        <f>IF(Sheet2!1:1,"AAAAAH/P/Qo=",0)</f>
        <v>0</v>
      </c>
      <c r="L20" t="e">
        <f>AND(Sheet2!A1,"AAAAAH/P/Qs=")</f>
        <v>#VALUE!</v>
      </c>
      <c r="M20">
        <f>IF(Sheet2!A:A,"AAAAAH/P/Qw=",0)</f>
        <v>0</v>
      </c>
      <c r="N20">
        <f>IF(Sheet3!1:1,"AAAAAH/P/Q0=",0)</f>
        <v>0</v>
      </c>
      <c r="O20" t="e">
        <f>AND(Sheet3!A1,"AAAAAH/P/Q4=")</f>
        <v>#VALUE!</v>
      </c>
      <c r="P20">
        <f>IF(Sheet3!A:A,"AAAAAH/P/Q8=",0)</f>
        <v>0</v>
      </c>
      <c r="Q20" s="31" t="s">
        <v>34</v>
      </c>
      <c r="R20" t="s">
        <v>35</v>
      </c>
      <c r="S20" t="e">
        <f>IF("N",Sheet1!PRINT_AREA,"AAAAAH/P/RI=")</f>
        <v>#VALUE!</v>
      </c>
    </row>
  </sheetData>
  <sheetProtection/>
  <printOptions/>
  <pageMargins left="0.7" right="0.7" top="0.75" bottom="0.75" header="0.3" footer="0.3"/>
  <pageSetup orientation="portrait" paperSize="9"/>
  <customProperties>
    <customPr name="DVSECTION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UAH / Microsoft MOLP Program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Chih Loo</dc:creator>
  <cp:keywords/>
  <dc:description/>
  <cp:lastModifiedBy>Katie McGinnis</cp:lastModifiedBy>
  <cp:lastPrinted>2008-09-29T20:28:37Z</cp:lastPrinted>
  <dcterms:created xsi:type="dcterms:W3CDTF">1999-05-24T18:08:25Z</dcterms:created>
  <dcterms:modified xsi:type="dcterms:W3CDTF">2021-05-12T19:24:04Z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oogle.Documents.DocumentId">
    <vt:lpwstr>1UC868H2Qgk8ooVTalLmBCOAJLjRUKeXcyA4Yfrydg-I</vt:lpwstr>
  </property>
  <property fmtid="{D5CDD505-2E9C-101B-9397-08002B2CF9AE}" pid="3" name="Google.Documents.RevisionId">
    <vt:lpwstr>11209807395659279490</vt:lpwstr>
  </property>
  <property fmtid="{D5CDD505-2E9C-101B-9397-08002B2CF9AE}" pid="4" name="Google.Documents.PluginVersion">
    <vt:lpwstr>2.0.2662.553</vt:lpwstr>
  </property>
  <property fmtid="{D5CDD505-2E9C-101B-9397-08002B2CF9AE}" pid="5" name="Google.Documents.MergeIncapabilityFlags">
    <vt:i4>0</vt:i4>
  </property>
  <property fmtid="{D5CDD505-2E9C-101B-9397-08002B2CF9AE}" pid="6" name="Google.Documents.Tracking">
    <vt:lpwstr>true</vt:lpwstr>
  </property>
</Properties>
</file>