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11505" activeTab="9"/>
  </bookViews>
  <sheets>
    <sheet name="Summary" sheetId="15" r:id="rId1"/>
    <sheet name="SrAd" sheetId="1" r:id="rId2"/>
    <sheet name="Res" sheetId="2" r:id="rId3"/>
    <sheet name="DM" sheetId="3" r:id="rId4"/>
    <sheet name="AP" sheetId="9" r:id="rId5"/>
    <sheet name="EP" sheetId="10" r:id="rId6"/>
    <sheet name="TC" sheetId="11" r:id="rId7"/>
    <sheet name="AC" sheetId="4" r:id="rId8"/>
    <sheet name="EC" sheetId="13" r:id="rId9"/>
    <sheet name="Cus" sheetId="14" r:id="rId10"/>
    <sheet name="SvMn" sheetId="5" r:id="rId11"/>
  </sheets>
  <definedNames>
    <definedName name="_xlnm.Print_Titles" localSheetId="7">AC!$1:$6</definedName>
    <definedName name="_xlnm.Print_Titles" localSheetId="4">AP!$1:$6</definedName>
    <definedName name="_xlnm.Print_Titles" localSheetId="9">Cus!$4:$6</definedName>
    <definedName name="_xlnm.Print_Titles" localSheetId="3">DM!$1:$6</definedName>
    <definedName name="_xlnm.Print_Titles" localSheetId="8">EC!$1:$6</definedName>
    <definedName name="_xlnm.Print_Titles" localSheetId="5">EP!$1:$6</definedName>
    <definedName name="_xlnm.Print_Titles" localSheetId="2">Res!$1:$6</definedName>
    <definedName name="_xlnm.Print_Titles" localSheetId="1">SrAd!$1:$6</definedName>
    <definedName name="_xlnm.Print_Titles" localSheetId="10">SvMn!$1:$6</definedName>
    <definedName name="_xlnm.Print_Titles" localSheetId="6">TC!$1:$6</definedName>
  </definedNames>
  <calcPr calcId="145621"/>
</workbook>
</file>

<file path=xl/calcChain.xml><?xml version="1.0" encoding="utf-8"?>
<calcChain xmlns="http://schemas.openxmlformats.org/spreadsheetml/2006/main">
  <c r="E38" i="2" l="1"/>
  <c r="D38" i="2"/>
  <c r="C38" i="2"/>
  <c r="B38" i="2"/>
  <c r="M72" i="11"/>
  <c r="L72" i="11"/>
  <c r="K72" i="11"/>
  <c r="J72" i="11"/>
  <c r="I72" i="11"/>
  <c r="H72" i="11"/>
  <c r="G72" i="11"/>
  <c r="F72" i="11"/>
  <c r="M46" i="11"/>
  <c r="L46" i="11"/>
  <c r="K46" i="11"/>
  <c r="I46" i="11"/>
  <c r="H46" i="11"/>
  <c r="G46" i="11"/>
  <c r="E44" i="11"/>
  <c r="E46" i="11" s="1"/>
  <c r="D44" i="11"/>
  <c r="D46" i="11" s="1"/>
  <c r="C44" i="11"/>
  <c r="B44" i="11"/>
  <c r="C46" i="11" l="1"/>
  <c r="E54" i="1"/>
  <c r="D54" i="1"/>
  <c r="C54" i="1"/>
  <c r="B54" i="1"/>
  <c r="E27" i="1"/>
  <c r="D27" i="1"/>
  <c r="C27" i="1"/>
  <c r="B27" i="1"/>
  <c r="E18" i="1"/>
  <c r="D18" i="1"/>
  <c r="C18" i="1"/>
  <c r="B18" i="1"/>
  <c r="M17" i="1"/>
  <c r="L17" i="1"/>
  <c r="K17" i="1"/>
  <c r="I17" i="1"/>
  <c r="H17" i="1"/>
  <c r="G17" i="1"/>
  <c r="E15" i="1"/>
  <c r="D15" i="1"/>
  <c r="C15" i="1"/>
  <c r="B15" i="1"/>
  <c r="M26" i="1"/>
  <c r="L26" i="1"/>
  <c r="K26" i="1"/>
  <c r="I26" i="1"/>
  <c r="H26" i="1"/>
  <c r="G26" i="1"/>
  <c r="E24" i="1"/>
  <c r="D24" i="1"/>
  <c r="C24" i="1"/>
  <c r="B24" i="1"/>
  <c r="M14" i="1"/>
  <c r="L14" i="1"/>
  <c r="K14" i="1"/>
  <c r="I14" i="1"/>
  <c r="H14" i="1"/>
  <c r="G14" i="1"/>
  <c r="E12" i="1"/>
  <c r="D12" i="1"/>
  <c r="C12" i="1"/>
  <c r="B12" i="1"/>
  <c r="M11" i="1"/>
  <c r="L11" i="1"/>
  <c r="K11" i="1"/>
  <c r="I11" i="1"/>
  <c r="H11" i="1"/>
  <c r="G11" i="1"/>
  <c r="E7" i="1"/>
  <c r="D7" i="1"/>
  <c r="C7" i="1"/>
  <c r="B7" i="1"/>
  <c r="M46" i="1"/>
  <c r="L46" i="1"/>
  <c r="K46" i="1"/>
  <c r="I46" i="1"/>
  <c r="H46" i="1"/>
  <c r="G46" i="1"/>
  <c r="E43" i="1"/>
  <c r="D43" i="1"/>
  <c r="C43" i="1"/>
  <c r="B43" i="1"/>
  <c r="M57" i="1"/>
  <c r="L57" i="1"/>
  <c r="K57" i="1"/>
  <c r="I57" i="1"/>
  <c r="H57" i="1"/>
  <c r="G57" i="1"/>
  <c r="C26" i="1" l="1"/>
  <c r="D17" i="1"/>
  <c r="E17" i="1"/>
  <c r="D26" i="1"/>
  <c r="E26" i="1"/>
  <c r="C17" i="1"/>
  <c r="E14" i="1"/>
  <c r="E11" i="1"/>
  <c r="D11" i="1"/>
  <c r="C11" i="1"/>
  <c r="C14" i="1"/>
  <c r="D14" i="1"/>
  <c r="C46" i="1"/>
  <c r="D46" i="1"/>
  <c r="E46" i="1"/>
  <c r="E57" i="1"/>
  <c r="D57" i="1"/>
  <c r="C57" i="1"/>
  <c r="M100" i="10"/>
  <c r="L100" i="10"/>
  <c r="K100" i="10"/>
  <c r="J100" i="10"/>
  <c r="I100" i="10"/>
  <c r="H100" i="10"/>
  <c r="G100" i="10"/>
  <c r="F100" i="10"/>
  <c r="M99" i="10"/>
  <c r="L99" i="10"/>
  <c r="K99" i="10"/>
  <c r="I99" i="10"/>
  <c r="H99" i="10"/>
  <c r="G99" i="10"/>
  <c r="E97" i="10"/>
  <c r="D97" i="10"/>
  <c r="C97" i="10"/>
  <c r="B97" i="10"/>
  <c r="D99" i="10" s="1"/>
  <c r="M24" i="10"/>
  <c r="L24" i="10"/>
  <c r="K24" i="10"/>
  <c r="I24" i="10"/>
  <c r="H24" i="10"/>
  <c r="G24" i="10"/>
  <c r="E22" i="10"/>
  <c r="E24" i="10" s="1"/>
  <c r="D22" i="10"/>
  <c r="C22" i="10"/>
  <c r="B22" i="10"/>
  <c r="E92" i="10"/>
  <c r="D92" i="10"/>
  <c r="C92" i="10"/>
  <c r="B92" i="10"/>
  <c r="E99" i="10" l="1"/>
  <c r="C99" i="10"/>
  <c r="D24" i="10"/>
  <c r="C24" i="10"/>
  <c r="B95" i="9"/>
  <c r="E29" i="9"/>
  <c r="D29" i="9"/>
  <c r="C29" i="9"/>
  <c r="B29" i="9"/>
  <c r="M59" i="4" l="1"/>
  <c r="L59" i="4"/>
  <c r="K59" i="4"/>
  <c r="J59" i="4"/>
  <c r="I59" i="4"/>
  <c r="H59" i="4"/>
  <c r="G59" i="4"/>
  <c r="F59" i="4"/>
  <c r="C6" i="15" l="1"/>
  <c r="F6" i="15"/>
  <c r="I6" i="15"/>
  <c r="C7" i="15"/>
  <c r="F7" i="15"/>
  <c r="I7" i="15"/>
  <c r="C8" i="15"/>
  <c r="F8" i="15"/>
  <c r="I8" i="15"/>
  <c r="C9" i="15"/>
  <c r="F9" i="15"/>
  <c r="I9" i="15"/>
  <c r="C10" i="15"/>
  <c r="F10" i="15"/>
  <c r="I10" i="15"/>
  <c r="C11" i="15"/>
  <c r="F11" i="15"/>
  <c r="I11" i="15"/>
  <c r="C12" i="15"/>
  <c r="F12" i="15"/>
  <c r="I12" i="15"/>
  <c r="C13" i="15"/>
  <c r="F13" i="15"/>
  <c r="I13" i="15"/>
  <c r="C14" i="15"/>
  <c r="F14" i="15"/>
  <c r="I14" i="15"/>
  <c r="C15" i="15"/>
  <c r="F15" i="15"/>
  <c r="I15" i="15"/>
  <c r="C32" i="5" l="1"/>
  <c r="D32" i="5"/>
  <c r="E32" i="5"/>
  <c r="B32" i="5"/>
  <c r="D57" i="10"/>
  <c r="E57" i="10"/>
  <c r="C57" i="10"/>
  <c r="B57" i="10"/>
  <c r="D19" i="10"/>
  <c r="E19" i="10"/>
  <c r="C19" i="10"/>
  <c r="B19" i="10"/>
  <c r="D52" i="10"/>
  <c r="E52" i="10"/>
  <c r="C52" i="10"/>
  <c r="B52" i="10"/>
  <c r="E7" i="10"/>
  <c r="D7" i="10"/>
  <c r="C7" i="10"/>
  <c r="B7" i="10"/>
  <c r="D67" i="3" l="1"/>
  <c r="E67" i="3"/>
  <c r="C67" i="3"/>
  <c r="B67" i="3"/>
  <c r="B77" i="3"/>
  <c r="E77" i="3"/>
  <c r="E47" i="1" l="1"/>
  <c r="D47" i="1"/>
  <c r="C47" i="1"/>
  <c r="B47" i="1"/>
  <c r="E80" i="2"/>
  <c r="D80" i="2"/>
  <c r="C80" i="2"/>
  <c r="B80" i="2"/>
  <c r="E16" i="13" l="1"/>
  <c r="D16" i="13"/>
  <c r="C16" i="13"/>
  <c r="B16" i="13"/>
  <c r="E38" i="13"/>
  <c r="D38" i="13"/>
  <c r="C38" i="13"/>
  <c r="B38" i="13"/>
  <c r="C52" i="4"/>
  <c r="D52" i="4"/>
  <c r="E64" i="11" l="1"/>
  <c r="D64" i="11"/>
  <c r="C64" i="11"/>
  <c r="B64" i="11"/>
  <c r="E70" i="10"/>
  <c r="D70" i="10"/>
  <c r="C70" i="10"/>
  <c r="B70" i="10"/>
  <c r="E89" i="10"/>
  <c r="D89" i="10"/>
  <c r="C89" i="10"/>
  <c r="B89" i="10"/>
  <c r="E12" i="10"/>
  <c r="D12" i="10"/>
  <c r="C12" i="10"/>
  <c r="B12" i="10"/>
  <c r="C33" i="3" l="1"/>
  <c r="D33" i="3"/>
  <c r="E33" i="3"/>
  <c r="D23" i="9"/>
  <c r="C23" i="9"/>
  <c r="E108" i="9"/>
  <c r="D108" i="9"/>
  <c r="C108" i="9"/>
  <c r="B108" i="9"/>
  <c r="E23" i="9"/>
  <c r="B23" i="9"/>
  <c r="B33" i="3" l="1"/>
  <c r="M46" i="4" l="1"/>
  <c r="L46" i="4"/>
  <c r="K46" i="4"/>
  <c r="I46" i="4"/>
  <c r="H46" i="4"/>
  <c r="G46" i="4"/>
  <c r="E44" i="4"/>
  <c r="D44" i="4"/>
  <c r="C44" i="4"/>
  <c r="B44" i="4"/>
  <c r="E46" i="4" l="1"/>
  <c r="C46" i="4"/>
  <c r="D46" i="4"/>
  <c r="M117" i="2" l="1"/>
  <c r="L117" i="2"/>
  <c r="K117" i="2"/>
  <c r="J117" i="2"/>
  <c r="I117" i="2"/>
  <c r="H117" i="2"/>
  <c r="G117" i="2"/>
  <c r="F117" i="2"/>
  <c r="E52" i="4"/>
  <c r="B52" i="4"/>
  <c r="E83" i="10"/>
  <c r="D83" i="10"/>
  <c r="C83" i="10"/>
  <c r="B83" i="10"/>
  <c r="B48" i="13" l="1"/>
  <c r="D7" i="13"/>
  <c r="E7" i="13"/>
  <c r="C7" i="13"/>
  <c r="B7" i="13"/>
  <c r="M41" i="13"/>
  <c r="L41" i="13"/>
  <c r="K41" i="13"/>
  <c r="I41" i="13"/>
  <c r="H41" i="13"/>
  <c r="G41" i="13"/>
  <c r="B42" i="13"/>
  <c r="C42" i="13"/>
  <c r="D42" i="13"/>
  <c r="E42" i="13"/>
  <c r="G44" i="13"/>
  <c r="H44" i="13"/>
  <c r="I44" i="13"/>
  <c r="K44" i="13"/>
  <c r="L44" i="13"/>
  <c r="M44" i="13"/>
  <c r="M15" i="13"/>
  <c r="L15" i="13"/>
  <c r="K15" i="13"/>
  <c r="I15" i="13"/>
  <c r="H15" i="13"/>
  <c r="G15" i="13"/>
  <c r="E13" i="13"/>
  <c r="D13" i="13"/>
  <c r="C13" i="13"/>
  <c r="B13" i="13"/>
  <c r="B52" i="5"/>
  <c r="E44" i="13" l="1"/>
  <c r="D44" i="13"/>
  <c r="C44" i="13"/>
  <c r="C15" i="13"/>
  <c r="E15" i="13"/>
  <c r="D15" i="13"/>
  <c r="D41" i="13"/>
  <c r="C41" i="13"/>
  <c r="E41" i="13"/>
  <c r="M73" i="10" l="1"/>
  <c r="L73" i="10"/>
  <c r="K73" i="10"/>
  <c r="I73" i="10"/>
  <c r="H73" i="10"/>
  <c r="G73" i="10"/>
  <c r="D73" i="10"/>
  <c r="M140" i="9"/>
  <c r="L140" i="9"/>
  <c r="K140" i="9"/>
  <c r="J140" i="9"/>
  <c r="I140" i="9"/>
  <c r="H140" i="9"/>
  <c r="G140" i="9"/>
  <c r="F140" i="9"/>
  <c r="E73" i="10" l="1"/>
  <c r="C73" i="10"/>
  <c r="M139" i="9"/>
  <c r="L139" i="9"/>
  <c r="K139" i="9"/>
  <c r="I139" i="9"/>
  <c r="H139" i="9"/>
  <c r="G139" i="9"/>
  <c r="E136" i="9"/>
  <c r="D136" i="9"/>
  <c r="C136" i="9"/>
  <c r="B136" i="9"/>
  <c r="E17" i="9"/>
  <c r="D17" i="9"/>
  <c r="C17" i="9"/>
  <c r="B17" i="9"/>
  <c r="E105" i="9"/>
  <c r="D105" i="9"/>
  <c r="C105" i="9"/>
  <c r="B105" i="9"/>
  <c r="C139" i="9" l="1"/>
  <c r="D139" i="9"/>
  <c r="E139" i="9"/>
  <c r="E36" i="9"/>
  <c r="D36" i="9"/>
  <c r="C36" i="9"/>
  <c r="B36" i="9"/>
  <c r="M58" i="13" l="1"/>
  <c r="L58" i="13"/>
  <c r="K58" i="13"/>
  <c r="J58" i="13"/>
  <c r="I58" i="13"/>
  <c r="H58" i="13"/>
  <c r="G58" i="13"/>
  <c r="F58" i="13"/>
  <c r="E24" i="13"/>
  <c r="D24" i="13"/>
  <c r="C24" i="13"/>
  <c r="B24" i="13"/>
  <c r="E74" i="10"/>
  <c r="E100" i="10" s="1"/>
  <c r="D74" i="10"/>
  <c r="D100" i="10" s="1"/>
  <c r="C74" i="10"/>
  <c r="C100" i="10" s="1"/>
  <c r="B74" i="10"/>
  <c r="B100" i="10" s="1"/>
  <c r="E27" i="10"/>
  <c r="D27" i="10"/>
  <c r="C27" i="10"/>
  <c r="B27" i="10"/>
  <c r="E95" i="9" l="1"/>
  <c r="D95" i="9"/>
  <c r="C95" i="9"/>
  <c r="E26" i="9"/>
  <c r="D26" i="9"/>
  <c r="C26" i="9"/>
  <c r="B26" i="9"/>
  <c r="M87" i="9"/>
  <c r="L87" i="9"/>
  <c r="K87" i="9"/>
  <c r="I87" i="9"/>
  <c r="H87" i="9"/>
  <c r="G87" i="9"/>
  <c r="M28" i="9"/>
  <c r="L28" i="9"/>
  <c r="K28" i="9"/>
  <c r="I28" i="9"/>
  <c r="H28" i="9"/>
  <c r="G28" i="9"/>
  <c r="E28" i="9" l="1"/>
  <c r="D28" i="9"/>
  <c r="C28" i="9"/>
  <c r="M16" i="9"/>
  <c r="L16" i="9"/>
  <c r="K16" i="9"/>
  <c r="I16" i="9"/>
  <c r="H16" i="9"/>
  <c r="G16" i="9"/>
  <c r="E14" i="9"/>
  <c r="D14" i="9"/>
  <c r="C14" i="9"/>
  <c r="B14" i="9"/>
  <c r="E33" i="9"/>
  <c r="D33" i="9"/>
  <c r="C33" i="9"/>
  <c r="B33" i="9"/>
  <c r="E16" i="9" l="1"/>
  <c r="C16" i="9"/>
  <c r="D16" i="9"/>
  <c r="M87" i="3"/>
  <c r="L87" i="3"/>
  <c r="K87" i="3"/>
  <c r="J87" i="3"/>
  <c r="I87" i="3"/>
  <c r="H87" i="3"/>
  <c r="G87" i="3"/>
  <c r="F87" i="3"/>
  <c r="M76" i="3"/>
  <c r="L76" i="3"/>
  <c r="K76" i="3"/>
  <c r="I76" i="3"/>
  <c r="H76" i="3"/>
  <c r="G76" i="3"/>
  <c r="E74" i="3"/>
  <c r="D74" i="3"/>
  <c r="C74" i="3"/>
  <c r="B74" i="3"/>
  <c r="B30" i="3"/>
  <c r="C30" i="3"/>
  <c r="D30" i="3"/>
  <c r="E30" i="3"/>
  <c r="G32" i="3"/>
  <c r="H32" i="3"/>
  <c r="I32" i="3"/>
  <c r="K32" i="3"/>
  <c r="L32" i="3"/>
  <c r="M32" i="3"/>
  <c r="E20" i="3"/>
  <c r="D20" i="3"/>
  <c r="C20" i="3"/>
  <c r="B20" i="3"/>
  <c r="E99" i="2"/>
  <c r="D99" i="2"/>
  <c r="C99" i="2"/>
  <c r="B99" i="2"/>
  <c r="D76" i="3" l="1"/>
  <c r="D32" i="3"/>
  <c r="E76" i="3"/>
  <c r="C76" i="3"/>
  <c r="C32" i="3"/>
  <c r="E32" i="3"/>
  <c r="M61" i="1"/>
  <c r="L61" i="1"/>
  <c r="K61" i="1"/>
  <c r="J61" i="1"/>
  <c r="I61" i="1"/>
  <c r="H61" i="1"/>
  <c r="G61" i="1"/>
  <c r="F61" i="1"/>
  <c r="E44" i="5" l="1"/>
  <c r="D44" i="5"/>
  <c r="C44" i="5"/>
  <c r="B44" i="5"/>
  <c r="E7" i="11" l="1"/>
  <c r="D7" i="11"/>
  <c r="C7" i="11"/>
  <c r="B7" i="11"/>
  <c r="E47" i="11"/>
  <c r="D47" i="11"/>
  <c r="C47" i="11"/>
  <c r="B47" i="11"/>
  <c r="M56" i="11"/>
  <c r="L56" i="11"/>
  <c r="K56" i="11"/>
  <c r="I56" i="11"/>
  <c r="H56" i="11"/>
  <c r="G56" i="11"/>
  <c r="E57" i="11"/>
  <c r="D57" i="11"/>
  <c r="C57" i="11"/>
  <c r="B57" i="11"/>
  <c r="E41" i="11"/>
  <c r="D41" i="11"/>
  <c r="C41" i="11"/>
  <c r="B41" i="11"/>
  <c r="M43" i="11"/>
  <c r="L43" i="11"/>
  <c r="K43" i="11"/>
  <c r="I43" i="11"/>
  <c r="H43" i="11"/>
  <c r="G43" i="11"/>
  <c r="E36" i="11"/>
  <c r="D36" i="11"/>
  <c r="C36" i="11"/>
  <c r="B36" i="11"/>
  <c r="E26" i="11"/>
  <c r="D26" i="11"/>
  <c r="C26" i="11"/>
  <c r="B26" i="11"/>
  <c r="M71" i="11"/>
  <c r="L71" i="11"/>
  <c r="K71" i="11"/>
  <c r="I71" i="11"/>
  <c r="H71" i="11"/>
  <c r="G71" i="11"/>
  <c r="M63" i="11"/>
  <c r="L63" i="11"/>
  <c r="K63" i="11"/>
  <c r="I63" i="11"/>
  <c r="H63" i="11"/>
  <c r="G63" i="11"/>
  <c r="E60" i="11"/>
  <c r="D60" i="11"/>
  <c r="C60" i="11"/>
  <c r="B60" i="11"/>
  <c r="M119" i="9"/>
  <c r="L119" i="9"/>
  <c r="K119" i="9"/>
  <c r="I119" i="9"/>
  <c r="H119" i="9"/>
  <c r="G119" i="9"/>
  <c r="E117" i="9"/>
  <c r="D117" i="9"/>
  <c r="C117" i="9"/>
  <c r="B117" i="9"/>
  <c r="E56" i="11" l="1"/>
  <c r="D56" i="11"/>
  <c r="C56" i="11"/>
  <c r="E43" i="11"/>
  <c r="C43" i="11"/>
  <c r="D43" i="11"/>
  <c r="C63" i="11"/>
  <c r="D63" i="11"/>
  <c r="C71" i="11"/>
  <c r="D71" i="11"/>
  <c r="E63" i="11"/>
  <c r="E119" i="9"/>
  <c r="D119" i="9"/>
  <c r="C119" i="9"/>
  <c r="E120" i="9" l="1"/>
  <c r="D120" i="9"/>
  <c r="C120" i="9"/>
  <c r="B120" i="9"/>
  <c r="E58" i="1" l="1"/>
  <c r="B58" i="1"/>
  <c r="E112" i="2" l="1"/>
  <c r="D112" i="2"/>
  <c r="C112" i="2"/>
  <c r="B112" i="2"/>
  <c r="E56" i="5" l="1"/>
  <c r="D56" i="5"/>
  <c r="C56" i="5"/>
  <c r="B56" i="5"/>
  <c r="E22" i="5"/>
  <c r="D22" i="5"/>
  <c r="C22" i="5"/>
  <c r="B22" i="5"/>
  <c r="M26" i="13"/>
  <c r="L26" i="13"/>
  <c r="K26" i="13"/>
  <c r="I26" i="13"/>
  <c r="H26" i="13"/>
  <c r="G26" i="13"/>
  <c r="D26" i="13" l="1"/>
  <c r="E26" i="13"/>
  <c r="C26" i="13"/>
  <c r="M56" i="10" l="1"/>
  <c r="L56" i="10"/>
  <c r="K56" i="10"/>
  <c r="I56" i="10"/>
  <c r="H56" i="10"/>
  <c r="G56" i="10"/>
  <c r="E56" i="10" l="1"/>
  <c r="D56" i="10"/>
  <c r="C56" i="10"/>
  <c r="B7" i="9"/>
  <c r="M107" i="9"/>
  <c r="L107" i="9"/>
  <c r="K107" i="9"/>
  <c r="I107" i="9"/>
  <c r="H107" i="9"/>
  <c r="G107" i="9"/>
  <c r="M97" i="9"/>
  <c r="L97" i="9"/>
  <c r="K97" i="9"/>
  <c r="I97" i="9"/>
  <c r="H97" i="9"/>
  <c r="G97" i="9"/>
  <c r="E107" i="9" l="1"/>
  <c r="C97" i="9"/>
  <c r="D97" i="9"/>
  <c r="E97" i="9"/>
  <c r="C107" i="9"/>
  <c r="D107" i="9"/>
  <c r="E23" i="11" l="1"/>
  <c r="D23" i="11"/>
  <c r="C23" i="11"/>
  <c r="B23" i="11"/>
  <c r="M11" i="10"/>
  <c r="L11" i="10"/>
  <c r="K11" i="10"/>
  <c r="I11" i="10"/>
  <c r="H11" i="10"/>
  <c r="G11" i="10"/>
  <c r="E21" i="13"/>
  <c r="D21" i="13"/>
  <c r="C21" i="13"/>
  <c r="B21" i="13"/>
  <c r="E11" i="10" l="1"/>
  <c r="D11" i="10"/>
  <c r="C11" i="10"/>
  <c r="E133" i="9" l="1"/>
  <c r="D133" i="9"/>
  <c r="C133" i="9"/>
  <c r="B133" i="9"/>
  <c r="E13" i="4" l="1"/>
  <c r="E59" i="4" s="1"/>
  <c r="D13" i="4"/>
  <c r="D59" i="4" s="1"/>
  <c r="C13" i="4"/>
  <c r="C59" i="4" s="1"/>
  <c r="B13" i="4"/>
  <c r="B59" i="4" s="1"/>
  <c r="K101" i="10"/>
  <c r="B106" i="10" s="1"/>
  <c r="K141" i="9"/>
  <c r="B146" i="9" s="1"/>
  <c r="G141" i="9"/>
  <c r="B145" i="9" s="1"/>
  <c r="M25" i="9"/>
  <c r="L25" i="9"/>
  <c r="K25" i="9"/>
  <c r="I25" i="9"/>
  <c r="H25" i="9"/>
  <c r="G25" i="9"/>
  <c r="E98" i="9"/>
  <c r="D98" i="9"/>
  <c r="C98" i="9"/>
  <c r="B98" i="9"/>
  <c r="M104" i="9"/>
  <c r="L104" i="9"/>
  <c r="I104" i="9"/>
  <c r="H104" i="9"/>
  <c r="K104" i="9"/>
  <c r="G104" i="9"/>
  <c r="M20" i="13"/>
  <c r="L20" i="13"/>
  <c r="K20" i="13"/>
  <c r="I20" i="13"/>
  <c r="E7" i="4"/>
  <c r="E17" i="4"/>
  <c r="E20" i="4"/>
  <c r="E27" i="4"/>
  <c r="E47" i="4"/>
  <c r="E56" i="4"/>
  <c r="D7" i="4"/>
  <c r="D17" i="4"/>
  <c r="D20" i="4"/>
  <c r="D27" i="4"/>
  <c r="D47" i="4"/>
  <c r="D56" i="4"/>
  <c r="C7" i="4"/>
  <c r="C17" i="4"/>
  <c r="C20" i="4"/>
  <c r="C27" i="4"/>
  <c r="C47" i="4"/>
  <c r="C56" i="4"/>
  <c r="B7" i="4"/>
  <c r="B17" i="4"/>
  <c r="B20" i="4"/>
  <c r="B27" i="4"/>
  <c r="B47" i="4"/>
  <c r="B56" i="4"/>
  <c r="E16" i="10"/>
  <c r="D16" i="10"/>
  <c r="C16" i="10"/>
  <c r="B16" i="10"/>
  <c r="E74" i="9"/>
  <c r="E7" i="9"/>
  <c r="E88" i="9"/>
  <c r="D74" i="9"/>
  <c r="D7" i="9"/>
  <c r="D88" i="9"/>
  <c r="C74" i="9"/>
  <c r="C7" i="9"/>
  <c r="C88" i="9"/>
  <c r="B74" i="9"/>
  <c r="B88" i="9"/>
  <c r="E15" i="3"/>
  <c r="E52" i="3"/>
  <c r="D15" i="3"/>
  <c r="D52" i="3"/>
  <c r="D77" i="3"/>
  <c r="C15" i="3"/>
  <c r="C52" i="3"/>
  <c r="C77" i="3"/>
  <c r="B15" i="3"/>
  <c r="B87" i="3" s="1"/>
  <c r="B52" i="3"/>
  <c r="E39" i="1"/>
  <c r="E51" i="1"/>
  <c r="D39" i="1"/>
  <c r="D51" i="1"/>
  <c r="D58" i="1"/>
  <c r="C39" i="1"/>
  <c r="C51" i="1"/>
  <c r="C58" i="1"/>
  <c r="B39" i="1"/>
  <c r="B51" i="1"/>
  <c r="E102" i="2"/>
  <c r="E72" i="2"/>
  <c r="E57" i="2"/>
  <c r="E56" i="2"/>
  <c r="E7" i="2"/>
  <c r="C102" i="2"/>
  <c r="C72" i="2"/>
  <c r="C57" i="2"/>
  <c r="C7" i="2"/>
  <c r="B7" i="3"/>
  <c r="B12" i="3"/>
  <c r="B27" i="3"/>
  <c r="B60" i="3"/>
  <c r="B63" i="3"/>
  <c r="B82" i="3"/>
  <c r="D7" i="2"/>
  <c r="B7" i="2"/>
  <c r="B102" i="2"/>
  <c r="B72" i="2"/>
  <c r="B57" i="2"/>
  <c r="M53" i="1"/>
  <c r="L53" i="1"/>
  <c r="K53" i="1"/>
  <c r="M60" i="1"/>
  <c r="L60" i="1"/>
  <c r="K60" i="1"/>
  <c r="I60" i="1"/>
  <c r="H60" i="1"/>
  <c r="G60" i="1"/>
  <c r="I53" i="1"/>
  <c r="H53" i="1"/>
  <c r="G53" i="1"/>
  <c r="E82" i="3"/>
  <c r="D82" i="3"/>
  <c r="C82" i="3"/>
  <c r="E45" i="13"/>
  <c r="D45" i="13"/>
  <c r="C45" i="13"/>
  <c r="B45" i="13"/>
  <c r="E7" i="14"/>
  <c r="E17" i="14" s="1"/>
  <c r="D7" i="14"/>
  <c r="D17" i="14" s="1"/>
  <c r="C7" i="14"/>
  <c r="C17" i="14" s="1"/>
  <c r="B7" i="14"/>
  <c r="B17" i="14" s="1"/>
  <c r="E29" i="11"/>
  <c r="E72" i="11" s="1"/>
  <c r="C29" i="11"/>
  <c r="C72" i="11" s="1"/>
  <c r="D29" i="11"/>
  <c r="D72" i="11" s="1"/>
  <c r="B29" i="11"/>
  <c r="B72" i="11" s="1"/>
  <c r="D72" i="2"/>
  <c r="D57" i="2"/>
  <c r="D48" i="13"/>
  <c r="C27" i="13"/>
  <c r="C48" i="13"/>
  <c r="D27" i="13"/>
  <c r="E27" i="13"/>
  <c r="E48" i="13"/>
  <c r="G73" i="11"/>
  <c r="B77" i="11" s="1"/>
  <c r="M40" i="11"/>
  <c r="L40" i="11"/>
  <c r="I40" i="11"/>
  <c r="H40" i="11"/>
  <c r="G40" i="11"/>
  <c r="K40" i="11"/>
  <c r="E25" i="11"/>
  <c r="D25" i="11"/>
  <c r="C25" i="11"/>
  <c r="B27" i="13"/>
  <c r="H23" i="1"/>
  <c r="D102" i="2"/>
  <c r="C7" i="5"/>
  <c r="C11" i="5"/>
  <c r="C14" i="5"/>
  <c r="C17" i="5"/>
  <c r="C26" i="5"/>
  <c r="C38" i="5"/>
  <c r="C41" i="5"/>
  <c r="C52" i="5"/>
  <c r="D52" i="5"/>
  <c r="E52" i="5"/>
  <c r="D41" i="5"/>
  <c r="E41" i="5"/>
  <c r="B41" i="5"/>
  <c r="D38" i="5"/>
  <c r="E38" i="5"/>
  <c r="B38" i="5"/>
  <c r="D26" i="5"/>
  <c r="E26" i="5"/>
  <c r="B26" i="5"/>
  <c r="D17" i="5"/>
  <c r="E17" i="5"/>
  <c r="B17" i="5"/>
  <c r="D14" i="5"/>
  <c r="E14" i="5"/>
  <c r="B14" i="5"/>
  <c r="D11" i="5"/>
  <c r="E11" i="5"/>
  <c r="B11" i="5"/>
  <c r="E7" i="5"/>
  <c r="D7" i="5"/>
  <c r="B7" i="5"/>
  <c r="C63" i="3"/>
  <c r="D63" i="3"/>
  <c r="E63" i="3"/>
  <c r="C27" i="3"/>
  <c r="D27" i="3"/>
  <c r="E27" i="3"/>
  <c r="C7" i="3"/>
  <c r="D7" i="3"/>
  <c r="E7" i="3"/>
  <c r="C60" i="3"/>
  <c r="D60" i="3"/>
  <c r="E60" i="3"/>
  <c r="C12" i="3"/>
  <c r="D12" i="3"/>
  <c r="E12" i="3"/>
  <c r="M63" i="5"/>
  <c r="L63" i="5"/>
  <c r="K63" i="5"/>
  <c r="J63" i="5"/>
  <c r="I63" i="5"/>
  <c r="H63" i="5"/>
  <c r="G63" i="5"/>
  <c r="F63" i="5"/>
  <c r="M28" i="11"/>
  <c r="L28" i="11"/>
  <c r="K28" i="11"/>
  <c r="I28" i="11"/>
  <c r="H28" i="11"/>
  <c r="G28" i="11"/>
  <c r="M59" i="11"/>
  <c r="L59" i="11"/>
  <c r="K59" i="11"/>
  <c r="I59" i="11"/>
  <c r="H59" i="11"/>
  <c r="G59" i="11"/>
  <c r="L116" i="2"/>
  <c r="H116" i="2"/>
  <c r="M111" i="2"/>
  <c r="L111" i="2"/>
  <c r="K111" i="2"/>
  <c r="I111" i="2"/>
  <c r="H111" i="2"/>
  <c r="G111" i="2"/>
  <c r="L37" i="2"/>
  <c r="K37" i="2"/>
  <c r="H38" i="1"/>
  <c r="G38" i="1"/>
  <c r="G23" i="1"/>
  <c r="I23" i="1"/>
  <c r="M23" i="1"/>
  <c r="L23" i="1"/>
  <c r="K23" i="1"/>
  <c r="M51" i="4"/>
  <c r="L51" i="4"/>
  <c r="K51" i="4"/>
  <c r="I51" i="4"/>
  <c r="H51" i="4"/>
  <c r="G51" i="4"/>
  <c r="M43" i="4"/>
  <c r="L43" i="4"/>
  <c r="K43" i="4"/>
  <c r="I43" i="4"/>
  <c r="H43" i="4"/>
  <c r="G43" i="4"/>
  <c r="M26" i="4"/>
  <c r="L26" i="4"/>
  <c r="K26" i="4"/>
  <c r="I26" i="4"/>
  <c r="H26" i="4"/>
  <c r="G26" i="4"/>
  <c r="M19" i="4"/>
  <c r="L19" i="4"/>
  <c r="K19" i="4"/>
  <c r="I19" i="4"/>
  <c r="H19" i="4"/>
  <c r="G19" i="4"/>
  <c r="M16" i="4"/>
  <c r="L16" i="4"/>
  <c r="K16" i="4"/>
  <c r="I16" i="4"/>
  <c r="H16" i="4"/>
  <c r="G16" i="4"/>
  <c r="L58" i="4"/>
  <c r="H58" i="4"/>
  <c r="L55" i="4"/>
  <c r="H55" i="4"/>
  <c r="L12" i="4"/>
  <c r="D55" i="4"/>
  <c r="H12" i="4"/>
  <c r="K58" i="4"/>
  <c r="M58" i="4"/>
  <c r="M55" i="4"/>
  <c r="K55" i="4"/>
  <c r="M12" i="4"/>
  <c r="K12" i="4"/>
  <c r="I58" i="4"/>
  <c r="G58" i="4"/>
  <c r="I55" i="4"/>
  <c r="G55" i="4"/>
  <c r="I12" i="4"/>
  <c r="G12" i="4"/>
  <c r="G135" i="9"/>
  <c r="H135" i="9"/>
  <c r="I135" i="9"/>
  <c r="K135" i="9"/>
  <c r="L135" i="9"/>
  <c r="M135" i="9"/>
  <c r="M132" i="9"/>
  <c r="L132" i="9"/>
  <c r="K132" i="9"/>
  <c r="I132" i="9"/>
  <c r="H132" i="9"/>
  <c r="G132" i="9"/>
  <c r="M116" i="9"/>
  <c r="L116" i="9"/>
  <c r="K116" i="9"/>
  <c r="I116" i="9"/>
  <c r="H116" i="9"/>
  <c r="G116" i="9"/>
  <c r="M94" i="9"/>
  <c r="L94" i="9"/>
  <c r="K94" i="9"/>
  <c r="I94" i="9"/>
  <c r="H94" i="9"/>
  <c r="G94" i="9"/>
  <c r="M92" i="9"/>
  <c r="L92" i="9"/>
  <c r="K92" i="9"/>
  <c r="I92" i="9"/>
  <c r="H92" i="9"/>
  <c r="G92" i="9"/>
  <c r="M85" i="9"/>
  <c r="L85" i="9"/>
  <c r="K85" i="9"/>
  <c r="I85" i="9"/>
  <c r="H85" i="9"/>
  <c r="G85" i="9"/>
  <c r="M35" i="9"/>
  <c r="L35" i="9"/>
  <c r="K35" i="9"/>
  <c r="I35" i="9"/>
  <c r="H35" i="9"/>
  <c r="G35" i="9"/>
  <c r="M32" i="9"/>
  <c r="L32" i="9"/>
  <c r="K32" i="9"/>
  <c r="I32" i="9"/>
  <c r="H32" i="9"/>
  <c r="G32" i="9"/>
  <c r="M22" i="9"/>
  <c r="L22" i="9"/>
  <c r="K22" i="9"/>
  <c r="I22" i="9"/>
  <c r="H22" i="9"/>
  <c r="G22" i="9"/>
  <c r="L73" i="9"/>
  <c r="H73" i="9"/>
  <c r="L13" i="9"/>
  <c r="H13" i="9"/>
  <c r="M73" i="9"/>
  <c r="K73" i="9"/>
  <c r="I73" i="9"/>
  <c r="G73" i="9"/>
  <c r="M13" i="9"/>
  <c r="K13" i="9"/>
  <c r="I13" i="9"/>
  <c r="G13" i="9"/>
  <c r="M35" i="11"/>
  <c r="L35" i="11"/>
  <c r="K35" i="11"/>
  <c r="I35" i="11"/>
  <c r="H35" i="11"/>
  <c r="G35" i="11"/>
  <c r="L25" i="11"/>
  <c r="H25" i="11"/>
  <c r="L22" i="11"/>
  <c r="H22" i="11"/>
  <c r="M25" i="11"/>
  <c r="K25" i="11"/>
  <c r="I25" i="11"/>
  <c r="G25" i="11"/>
  <c r="M22" i="11"/>
  <c r="K22" i="11"/>
  <c r="I22" i="11"/>
  <c r="G22" i="11"/>
  <c r="H17" i="14"/>
  <c r="F17" i="14"/>
  <c r="I17" i="14"/>
  <c r="G17" i="14"/>
  <c r="H16" i="14"/>
  <c r="M17" i="14"/>
  <c r="K17" i="14"/>
  <c r="J17" i="14"/>
  <c r="I16" i="14"/>
  <c r="G16" i="14"/>
  <c r="M81" i="3"/>
  <c r="L81" i="3"/>
  <c r="K81" i="3"/>
  <c r="I81" i="3"/>
  <c r="H81" i="3"/>
  <c r="G81" i="3"/>
  <c r="M73" i="3"/>
  <c r="L73" i="3"/>
  <c r="K73" i="3"/>
  <c r="I73" i="3"/>
  <c r="H73" i="3"/>
  <c r="G73" i="3"/>
  <c r="M66" i="3"/>
  <c r="L66" i="3"/>
  <c r="K66" i="3"/>
  <c r="I66" i="3"/>
  <c r="H66" i="3"/>
  <c r="G66" i="3"/>
  <c r="M62" i="3"/>
  <c r="L62" i="3"/>
  <c r="K62" i="3"/>
  <c r="I62" i="3"/>
  <c r="H62" i="3"/>
  <c r="G62" i="3"/>
  <c r="M59" i="3"/>
  <c r="L59" i="3"/>
  <c r="K59" i="3"/>
  <c r="I59" i="3"/>
  <c r="H59" i="3"/>
  <c r="G59" i="3"/>
  <c r="M51" i="3"/>
  <c r="L51" i="3"/>
  <c r="K51" i="3"/>
  <c r="I51" i="3"/>
  <c r="H51" i="3"/>
  <c r="G51" i="3"/>
  <c r="M26" i="3"/>
  <c r="L26" i="3"/>
  <c r="K26" i="3"/>
  <c r="I26" i="3"/>
  <c r="H26" i="3"/>
  <c r="G26" i="3"/>
  <c r="M14" i="3"/>
  <c r="L14" i="3"/>
  <c r="K14" i="3"/>
  <c r="I14" i="3"/>
  <c r="H14" i="3"/>
  <c r="G14" i="3"/>
  <c r="L84" i="3"/>
  <c r="M84" i="3"/>
  <c r="K84" i="3"/>
  <c r="H84" i="3"/>
  <c r="M29" i="3"/>
  <c r="L29" i="3"/>
  <c r="K29" i="3"/>
  <c r="H29" i="3"/>
  <c r="M19" i="3"/>
  <c r="L19" i="3"/>
  <c r="K19" i="3"/>
  <c r="H19" i="3"/>
  <c r="M11" i="3"/>
  <c r="L11" i="3"/>
  <c r="K11" i="3"/>
  <c r="H11" i="3"/>
  <c r="I84" i="3"/>
  <c r="G84" i="3"/>
  <c r="I29" i="3"/>
  <c r="G29" i="3"/>
  <c r="I19" i="3"/>
  <c r="G19" i="3"/>
  <c r="I11" i="3"/>
  <c r="G11" i="3"/>
  <c r="M23" i="13"/>
  <c r="L23" i="13"/>
  <c r="K23" i="13"/>
  <c r="I23" i="13"/>
  <c r="H23" i="13"/>
  <c r="G23" i="13"/>
  <c r="L57" i="13"/>
  <c r="L47" i="13"/>
  <c r="L37" i="13"/>
  <c r="L12" i="13"/>
  <c r="H12" i="13"/>
  <c r="H37" i="13"/>
  <c r="H47" i="13"/>
  <c r="H57" i="13"/>
  <c r="M57" i="13"/>
  <c r="K57" i="13"/>
  <c r="I57" i="13"/>
  <c r="G57" i="13"/>
  <c r="M47" i="13"/>
  <c r="K47" i="13"/>
  <c r="I47" i="13"/>
  <c r="G47" i="13"/>
  <c r="M37" i="13"/>
  <c r="K37" i="13"/>
  <c r="I37" i="13"/>
  <c r="G37" i="13"/>
  <c r="M12" i="13"/>
  <c r="K12" i="13"/>
  <c r="I12" i="13"/>
  <c r="G12" i="13"/>
  <c r="M91" i="10"/>
  <c r="L91" i="10"/>
  <c r="K91" i="10"/>
  <c r="I91" i="10"/>
  <c r="H91" i="10"/>
  <c r="G91" i="10"/>
  <c r="M88" i="10"/>
  <c r="L88" i="10"/>
  <c r="K88" i="10"/>
  <c r="I88" i="10"/>
  <c r="H88" i="10"/>
  <c r="G88" i="10"/>
  <c r="M51" i="10"/>
  <c r="L51" i="10"/>
  <c r="K51" i="10"/>
  <c r="I51" i="10"/>
  <c r="H51" i="10"/>
  <c r="G51" i="10"/>
  <c r="M26" i="10"/>
  <c r="L26" i="10"/>
  <c r="K26" i="10"/>
  <c r="I26" i="10"/>
  <c r="H26" i="10"/>
  <c r="G26" i="10"/>
  <c r="M21" i="10"/>
  <c r="L21" i="10"/>
  <c r="K21" i="10"/>
  <c r="I21" i="10"/>
  <c r="H21" i="10"/>
  <c r="G21" i="10"/>
  <c r="M18" i="10"/>
  <c r="L18" i="10"/>
  <c r="K18" i="10"/>
  <c r="I18" i="10"/>
  <c r="H18" i="10"/>
  <c r="G18" i="10"/>
  <c r="L96" i="10"/>
  <c r="H96" i="10"/>
  <c r="L69" i="10"/>
  <c r="H69" i="10"/>
  <c r="L15" i="10"/>
  <c r="H15" i="10"/>
  <c r="M96" i="10"/>
  <c r="K96" i="10"/>
  <c r="I96" i="10"/>
  <c r="G96" i="10"/>
  <c r="M82" i="10"/>
  <c r="L82" i="10"/>
  <c r="K82" i="10"/>
  <c r="I82" i="10"/>
  <c r="H82" i="10"/>
  <c r="G82" i="10"/>
  <c r="M69" i="10"/>
  <c r="K69" i="10"/>
  <c r="I69" i="10"/>
  <c r="G69" i="10"/>
  <c r="G15" i="10"/>
  <c r="I15" i="10"/>
  <c r="K15" i="10"/>
  <c r="M15" i="10"/>
  <c r="M116" i="2"/>
  <c r="K116" i="2"/>
  <c r="I116" i="2"/>
  <c r="G116" i="2"/>
  <c r="L101" i="2"/>
  <c r="H101" i="2"/>
  <c r="L98" i="2"/>
  <c r="H98" i="2"/>
  <c r="L71" i="2"/>
  <c r="H71" i="2"/>
  <c r="M56" i="2"/>
  <c r="L56" i="2"/>
  <c r="K56" i="2"/>
  <c r="I56" i="2"/>
  <c r="H56" i="2"/>
  <c r="G56" i="2"/>
  <c r="H37" i="2"/>
  <c r="M101" i="2"/>
  <c r="K101" i="2"/>
  <c r="I101" i="2"/>
  <c r="G101" i="2"/>
  <c r="I98" i="2"/>
  <c r="G98" i="2"/>
  <c r="I71" i="2"/>
  <c r="G71" i="2"/>
  <c r="I37" i="2"/>
  <c r="G37" i="2"/>
  <c r="M98" i="2"/>
  <c r="K98" i="2"/>
  <c r="M71" i="2"/>
  <c r="K71" i="2"/>
  <c r="M37" i="2"/>
  <c r="M50" i="1"/>
  <c r="L50" i="1"/>
  <c r="K50" i="1"/>
  <c r="I50" i="1"/>
  <c r="H50" i="1"/>
  <c r="G50" i="1"/>
  <c r="L42" i="1"/>
  <c r="H42" i="1"/>
  <c r="L38" i="1"/>
  <c r="M42" i="1"/>
  <c r="K42" i="1"/>
  <c r="I42" i="1"/>
  <c r="G42" i="1"/>
  <c r="M38" i="1"/>
  <c r="K38" i="1"/>
  <c r="I38" i="1"/>
  <c r="M31" i="5"/>
  <c r="L31" i="5"/>
  <c r="K31" i="5"/>
  <c r="I31" i="5"/>
  <c r="H31" i="5"/>
  <c r="G31" i="5"/>
  <c r="M25" i="5"/>
  <c r="L25" i="5"/>
  <c r="K25" i="5"/>
  <c r="I25" i="5"/>
  <c r="H25" i="5"/>
  <c r="G25" i="5"/>
  <c r="M16" i="5"/>
  <c r="L16" i="5"/>
  <c r="K16" i="5"/>
  <c r="I16" i="5"/>
  <c r="H16" i="5"/>
  <c r="G16" i="5"/>
  <c r="M10" i="5"/>
  <c r="L10" i="5"/>
  <c r="K10" i="5"/>
  <c r="I10" i="5"/>
  <c r="H10" i="5"/>
  <c r="G10" i="5"/>
  <c r="I62" i="5"/>
  <c r="H62" i="5"/>
  <c r="G62" i="5"/>
  <c r="I55" i="5"/>
  <c r="H55" i="5"/>
  <c r="G55" i="5"/>
  <c r="I51" i="5"/>
  <c r="H51" i="5"/>
  <c r="G51" i="5"/>
  <c r="I43" i="5"/>
  <c r="H43" i="5"/>
  <c r="G43" i="5"/>
  <c r="I40" i="5"/>
  <c r="H40" i="5"/>
  <c r="G40" i="5"/>
  <c r="I37" i="5"/>
  <c r="H37" i="5"/>
  <c r="G37" i="5"/>
  <c r="I21" i="5"/>
  <c r="H21" i="5"/>
  <c r="G21" i="5"/>
  <c r="I13" i="5"/>
  <c r="H13" i="5"/>
  <c r="G13" i="5"/>
  <c r="L62" i="5"/>
  <c r="L55" i="5"/>
  <c r="L51" i="5"/>
  <c r="L43" i="5"/>
  <c r="L40" i="5"/>
  <c r="L37" i="5"/>
  <c r="L21" i="5"/>
  <c r="L13" i="5"/>
  <c r="M37" i="5"/>
  <c r="K37" i="5"/>
  <c r="M62" i="5"/>
  <c r="K62" i="5"/>
  <c r="M55" i="5"/>
  <c r="K55" i="5"/>
  <c r="M51" i="5"/>
  <c r="K51" i="5"/>
  <c r="M43" i="5"/>
  <c r="K43" i="5"/>
  <c r="M40" i="5"/>
  <c r="K40" i="5"/>
  <c r="M21" i="5"/>
  <c r="K21" i="5"/>
  <c r="M13" i="5"/>
  <c r="K13" i="5"/>
  <c r="D56" i="2"/>
  <c r="C56" i="2"/>
  <c r="M73" i="11"/>
  <c r="D78" i="11" s="1"/>
  <c r="K73" i="11"/>
  <c r="B78" i="11" s="1"/>
  <c r="B11" i="15" l="1"/>
  <c r="D11" i="15" s="1"/>
  <c r="C61" i="1"/>
  <c r="D61" i="1"/>
  <c r="E61" i="1"/>
  <c r="B61" i="1"/>
  <c r="B9" i="15"/>
  <c r="D9" i="15" s="1"/>
  <c r="C140" i="9"/>
  <c r="B63" i="5"/>
  <c r="B58" i="13"/>
  <c r="D140" i="9"/>
  <c r="E140" i="9"/>
  <c r="B140" i="9"/>
  <c r="E87" i="3"/>
  <c r="E117" i="2"/>
  <c r="B117" i="2"/>
  <c r="D117" i="2"/>
  <c r="C117" i="2"/>
  <c r="C58" i="13"/>
  <c r="E58" i="13"/>
  <c r="D58" i="13"/>
  <c r="D81" i="3"/>
  <c r="D87" i="3"/>
  <c r="C87" i="3"/>
  <c r="D40" i="5"/>
  <c r="D21" i="5"/>
  <c r="G88" i="3"/>
  <c r="D62" i="3"/>
  <c r="E19" i="3"/>
  <c r="H88" i="3"/>
  <c r="C92" i="3" s="1"/>
  <c r="K88" i="3"/>
  <c r="B93" i="3" s="1"/>
  <c r="E14" i="3"/>
  <c r="I88" i="3"/>
  <c r="D92" i="3" s="1"/>
  <c r="M88" i="3"/>
  <c r="D93" i="3" s="1"/>
  <c r="L88" i="3"/>
  <c r="C93" i="3" s="1"/>
  <c r="C60" i="1"/>
  <c r="D53" i="1"/>
  <c r="C38" i="1"/>
  <c r="E51" i="5"/>
  <c r="D13" i="5"/>
  <c r="I18" i="14"/>
  <c r="D23" i="14" s="1"/>
  <c r="H14" i="15" s="1"/>
  <c r="J14" i="15" s="1"/>
  <c r="G18" i="14"/>
  <c r="B23" i="14" s="1"/>
  <c r="B14" i="15" s="1"/>
  <c r="D14" i="15" s="1"/>
  <c r="H18" i="14"/>
  <c r="C23" i="14" s="1"/>
  <c r="E101" i="2"/>
  <c r="G118" i="2"/>
  <c r="B122" i="2" s="1"/>
  <c r="L118" i="2"/>
  <c r="C123" i="2" s="1"/>
  <c r="D116" i="2"/>
  <c r="D98" i="2"/>
  <c r="E37" i="5"/>
  <c r="E16" i="4"/>
  <c r="I60" i="4"/>
  <c r="D64" i="4" s="1"/>
  <c r="M60" i="4"/>
  <c r="D65" i="4" s="1"/>
  <c r="E28" i="11"/>
  <c r="C88" i="10"/>
  <c r="C32" i="9"/>
  <c r="C35" i="9" s="1"/>
  <c r="E62" i="3"/>
  <c r="E73" i="3"/>
  <c r="E59" i="3"/>
  <c r="D51" i="3"/>
  <c r="I62" i="1"/>
  <c r="D66" i="1" s="1"/>
  <c r="D23" i="1"/>
  <c r="D38" i="1"/>
  <c r="L60" i="4"/>
  <c r="C65" i="4" s="1"/>
  <c r="M64" i="5"/>
  <c r="D70" i="5" s="1"/>
  <c r="C42" i="1"/>
  <c r="D19" i="3"/>
  <c r="C62" i="3"/>
  <c r="D28" i="11"/>
  <c r="C51" i="5"/>
  <c r="D60" i="1"/>
  <c r="D50" i="1"/>
  <c r="E18" i="10"/>
  <c r="H60" i="4"/>
  <c r="C64" i="4" s="1"/>
  <c r="E12" i="15" s="1"/>
  <c r="G12" i="15" s="1"/>
  <c r="D59" i="11"/>
  <c r="E23" i="1"/>
  <c r="C10" i="5"/>
  <c r="E13" i="5"/>
  <c r="C25" i="5"/>
  <c r="E31" i="5"/>
  <c r="E57" i="13"/>
  <c r="D57" i="13"/>
  <c r="E35" i="11"/>
  <c r="E53" i="1"/>
  <c r="C23" i="1"/>
  <c r="D58" i="4"/>
  <c r="C25" i="9"/>
  <c r="B148" i="9"/>
  <c r="C101" i="2"/>
  <c r="D111" i="2"/>
  <c r="E116" i="2"/>
  <c r="D37" i="2"/>
  <c r="E98" i="2"/>
  <c r="D71" i="2"/>
  <c r="C111" i="2"/>
  <c r="I118" i="2"/>
  <c r="D122" i="2" s="1"/>
  <c r="K118" i="2"/>
  <c r="B123" i="2" s="1"/>
  <c r="E37" i="2"/>
  <c r="C28" i="11"/>
  <c r="H73" i="11"/>
  <c r="C77" i="11" s="1"/>
  <c r="E11" i="15" s="1"/>
  <c r="G11" i="15" s="1"/>
  <c r="L73" i="11"/>
  <c r="C78" i="11" s="1"/>
  <c r="I73" i="11"/>
  <c r="D77" i="11" s="1"/>
  <c r="H11" i="15" s="1"/>
  <c r="J11" i="15" s="1"/>
  <c r="E40" i="11"/>
  <c r="E59" i="11"/>
  <c r="B80" i="11"/>
  <c r="C40" i="11"/>
  <c r="D40" i="11"/>
  <c r="D35" i="11"/>
  <c r="C35" i="11"/>
  <c r="C62" i="5"/>
  <c r="D55" i="5"/>
  <c r="D62" i="5"/>
  <c r="E62" i="5"/>
  <c r="L64" i="5"/>
  <c r="C70" i="5" s="1"/>
  <c r="D25" i="5"/>
  <c r="D37" i="5"/>
  <c r="D43" i="5"/>
  <c r="C43" i="5"/>
  <c r="D10" i="5"/>
  <c r="E25" i="5"/>
  <c r="E43" i="5"/>
  <c r="E55" i="5"/>
  <c r="D51" i="5"/>
  <c r="D31" i="5"/>
  <c r="E60" i="1"/>
  <c r="L62" i="1"/>
  <c r="C67" i="1" s="1"/>
  <c r="E96" i="10"/>
  <c r="C21" i="10"/>
  <c r="E15" i="10"/>
  <c r="E69" i="10"/>
  <c r="I101" i="10"/>
  <c r="D105" i="10" s="1"/>
  <c r="D82" i="10"/>
  <c r="D88" i="10"/>
  <c r="C69" i="10"/>
  <c r="D96" i="10"/>
  <c r="H101" i="10"/>
  <c r="C105" i="10" s="1"/>
  <c r="L101" i="10"/>
  <c r="C106" i="10" s="1"/>
  <c r="D69" i="10"/>
  <c r="C15" i="10"/>
  <c r="E91" i="10"/>
  <c r="C96" i="10"/>
  <c r="C18" i="10"/>
  <c r="D21" i="10"/>
  <c r="C82" i="10"/>
  <c r="D91" i="10"/>
  <c r="M101" i="10"/>
  <c r="D106" i="10" s="1"/>
  <c r="E88" i="10"/>
  <c r="E51" i="10"/>
  <c r="E82" i="10"/>
  <c r="E21" i="10"/>
  <c r="G101" i="10"/>
  <c r="B105" i="10" s="1"/>
  <c r="B10" i="15" s="1"/>
  <c r="D10" i="15" s="1"/>
  <c r="I59" i="13"/>
  <c r="D63" i="13" s="1"/>
  <c r="C12" i="13"/>
  <c r="M59" i="13"/>
  <c r="D64" i="13" s="1"/>
  <c r="C47" i="13"/>
  <c r="C37" i="13"/>
  <c r="D47" i="13"/>
  <c r="D37" i="13"/>
  <c r="C57" i="13"/>
  <c r="G59" i="13"/>
  <c r="B63" i="13" s="1"/>
  <c r="E20" i="13"/>
  <c r="C23" i="13"/>
  <c r="D12" i="13"/>
  <c r="D14" i="3"/>
  <c r="C14" i="3"/>
  <c r="E29" i="3"/>
  <c r="D29" i="3"/>
  <c r="K62" i="1"/>
  <c r="B67" i="1" s="1"/>
  <c r="D84" i="3"/>
  <c r="D66" i="3"/>
  <c r="C11" i="3"/>
  <c r="E66" i="3"/>
  <c r="C84" i="3"/>
  <c r="D42" i="1"/>
  <c r="H62" i="1"/>
  <c r="C66" i="1" s="1"/>
  <c r="C26" i="3"/>
  <c r="C81" i="3"/>
  <c r="E81" i="3"/>
  <c r="D73" i="3"/>
  <c r="C73" i="3"/>
  <c r="C59" i="3"/>
  <c r="E51" i="3"/>
  <c r="C51" i="3"/>
  <c r="E11" i="3"/>
  <c r="D18" i="14"/>
  <c r="H141" i="9"/>
  <c r="C145" i="9" s="1"/>
  <c r="C116" i="9"/>
  <c r="C132" i="9"/>
  <c r="D85" i="9"/>
  <c r="D32" i="9"/>
  <c r="D35" i="9" s="1"/>
  <c r="E32" i="9"/>
  <c r="E22" i="9"/>
  <c r="D116" i="9"/>
  <c r="C22" i="9"/>
  <c r="E92" i="9"/>
  <c r="E25" i="9"/>
  <c r="I141" i="9"/>
  <c r="D145" i="9" s="1"/>
  <c r="M141" i="9"/>
  <c r="D146" i="9" s="1"/>
  <c r="D135" i="9"/>
  <c r="C85" i="9"/>
  <c r="E73" i="9"/>
  <c r="E116" i="9"/>
  <c r="E132" i="9"/>
  <c r="C92" i="9"/>
  <c r="C73" i="9"/>
  <c r="D22" i="9"/>
  <c r="D104" i="9"/>
  <c r="E35" i="9"/>
  <c r="C135" i="9"/>
  <c r="E135" i="9"/>
  <c r="E85" i="9"/>
  <c r="E13" i="9"/>
  <c r="D13" i="9"/>
  <c r="E18" i="14"/>
  <c r="E37" i="13"/>
  <c r="D51" i="10"/>
  <c r="C51" i="10"/>
  <c r="D16" i="14"/>
  <c r="E104" i="9"/>
  <c r="C13" i="9"/>
  <c r="C37" i="2"/>
  <c r="M118" i="2"/>
  <c r="D123" i="2" s="1"/>
  <c r="M62" i="1"/>
  <c r="D67" i="1" s="1"/>
  <c r="E16" i="14"/>
  <c r="C18" i="14"/>
  <c r="C66" i="3"/>
  <c r="C20" i="13"/>
  <c r="D23" i="13"/>
  <c r="E26" i="3"/>
  <c r="D26" i="3"/>
  <c r="D18" i="10"/>
  <c r="H59" i="13"/>
  <c r="C63" i="13" s="1"/>
  <c r="L59" i="13"/>
  <c r="C64" i="13" s="1"/>
  <c r="H118" i="2"/>
  <c r="C122" i="2" s="1"/>
  <c r="D25" i="9"/>
  <c r="L141" i="9"/>
  <c r="C146" i="9" s="1"/>
  <c r="C116" i="2"/>
  <c r="C16" i="14"/>
  <c r="D11" i="3"/>
  <c r="C29" i="3"/>
  <c r="C59" i="11"/>
  <c r="D20" i="13"/>
  <c r="E71" i="2"/>
  <c r="E38" i="1"/>
  <c r="C53" i="1"/>
  <c r="E42" i="1"/>
  <c r="C19" i="3"/>
  <c r="D59" i="3"/>
  <c r="C91" i="10"/>
  <c r="E51" i="4"/>
  <c r="C16" i="4"/>
  <c r="G60" i="4"/>
  <c r="B64" i="4" s="1"/>
  <c r="K60" i="4"/>
  <c r="B65" i="4" s="1"/>
  <c r="C40" i="5"/>
  <c r="C16" i="5"/>
  <c r="E21" i="5"/>
  <c r="E40" i="5"/>
  <c r="C55" i="5"/>
  <c r="C31" i="5"/>
  <c r="C63" i="5"/>
  <c r="E47" i="13"/>
  <c r="E23" i="13"/>
  <c r="E84" i="3"/>
  <c r="E12" i="13"/>
  <c r="C98" i="2"/>
  <c r="K59" i="13"/>
  <c r="B64" i="13" s="1"/>
  <c r="C104" i="9"/>
  <c r="G62" i="1"/>
  <c r="B66" i="1" s="1"/>
  <c r="B6" i="15" s="1"/>
  <c r="D6" i="15" s="1"/>
  <c r="E26" i="4"/>
  <c r="D51" i="4"/>
  <c r="D26" i="4"/>
  <c r="E58" i="4"/>
  <c r="C58" i="4"/>
  <c r="E19" i="4"/>
  <c r="C55" i="4"/>
  <c r="E55" i="4"/>
  <c r="C43" i="4"/>
  <c r="E43" i="4"/>
  <c r="C51" i="4"/>
  <c r="C26" i="4"/>
  <c r="D43" i="4"/>
  <c r="C19" i="4"/>
  <c r="G64" i="5"/>
  <c r="B69" i="5" s="1"/>
  <c r="H64" i="5"/>
  <c r="C69" i="5" s="1"/>
  <c r="E15" i="15" s="1"/>
  <c r="G15" i="15" s="1"/>
  <c r="E10" i="5"/>
  <c r="E63" i="5"/>
  <c r="D12" i="4"/>
  <c r="D25" i="14"/>
  <c r="C13" i="5"/>
  <c r="E111" i="2"/>
  <c r="K64" i="5"/>
  <c r="B70" i="5" s="1"/>
  <c r="D15" i="10"/>
  <c r="D101" i="2"/>
  <c r="D132" i="9"/>
  <c r="D92" i="9"/>
  <c r="D73" i="9"/>
  <c r="D19" i="4"/>
  <c r="D16" i="4"/>
  <c r="D16" i="5"/>
  <c r="E12" i="4"/>
  <c r="C12" i="4"/>
  <c r="C37" i="5"/>
  <c r="E16" i="5"/>
  <c r="I64" i="5"/>
  <c r="D69" i="5" s="1"/>
  <c r="H15" i="15" s="1"/>
  <c r="J15" i="15" s="1"/>
  <c r="D63" i="5"/>
  <c r="E50" i="1"/>
  <c r="C50" i="1"/>
  <c r="C71" i="2"/>
  <c r="C21" i="5"/>
  <c r="E7" i="15" l="1"/>
  <c r="G7" i="15" s="1"/>
  <c r="B7" i="15"/>
  <c r="D7" i="15" s="1"/>
  <c r="H7" i="15"/>
  <c r="J7" i="15" s="1"/>
  <c r="B15" i="15"/>
  <c r="D15" i="15" s="1"/>
  <c r="E6" i="15"/>
  <c r="G6" i="15" s="1"/>
  <c r="H6" i="15"/>
  <c r="J6" i="15" s="1"/>
  <c r="H10" i="15"/>
  <c r="J10" i="15" s="1"/>
  <c r="E10" i="15"/>
  <c r="G10" i="15" s="1"/>
  <c r="H13" i="15"/>
  <c r="J13" i="15" s="1"/>
  <c r="E13" i="15"/>
  <c r="G13" i="15" s="1"/>
  <c r="B13" i="15"/>
  <c r="D13" i="15" s="1"/>
  <c r="H8" i="15"/>
  <c r="J8" i="15" s="1"/>
  <c r="E8" i="15"/>
  <c r="G8" i="15" s="1"/>
  <c r="C25" i="14"/>
  <c r="E14" i="15"/>
  <c r="G14" i="15" s="1"/>
  <c r="E9" i="15"/>
  <c r="G9" i="15" s="1"/>
  <c r="H9" i="15"/>
  <c r="J9" i="15" s="1"/>
  <c r="H12" i="15"/>
  <c r="J12" i="15" s="1"/>
  <c r="B12" i="15"/>
  <c r="D12" i="15" s="1"/>
  <c r="C141" i="9"/>
  <c r="C95" i="3"/>
  <c r="B25" i="14"/>
  <c r="D67" i="4"/>
  <c r="B125" i="2"/>
  <c r="D66" i="13"/>
  <c r="C67" i="4"/>
  <c r="E60" i="4"/>
  <c r="D80" i="11"/>
  <c r="C80" i="11"/>
  <c r="D148" i="9"/>
  <c r="D95" i="3"/>
  <c r="B67" i="4"/>
  <c r="C118" i="2"/>
  <c r="C64" i="5"/>
  <c r="D64" i="5"/>
  <c r="C69" i="1"/>
  <c r="B108" i="10"/>
  <c r="C108" i="10"/>
  <c r="C101" i="10"/>
  <c r="D108" i="10"/>
  <c r="C66" i="13"/>
  <c r="B66" i="13"/>
  <c r="E59" i="13"/>
  <c r="D59" i="13"/>
  <c r="C59" i="13"/>
  <c r="E88" i="3"/>
  <c r="D88" i="3"/>
  <c r="C88" i="3"/>
  <c r="E141" i="9"/>
  <c r="D141" i="9"/>
  <c r="C125" i="2"/>
  <c r="D69" i="1"/>
  <c r="C148" i="9"/>
  <c r="B69" i="1"/>
  <c r="D125" i="2"/>
  <c r="C72" i="5"/>
  <c r="D101" i="10"/>
  <c r="C62" i="1"/>
  <c r="E118" i="2"/>
  <c r="E62" i="1"/>
  <c r="D60" i="4"/>
  <c r="C60" i="4"/>
  <c r="E64" i="5"/>
  <c r="D62" i="1"/>
  <c r="D72" i="5"/>
  <c r="B72" i="5"/>
  <c r="E101" i="10"/>
  <c r="D118" i="2"/>
  <c r="B92" i="3"/>
  <c r="B95" i="3" l="1"/>
  <c r="B8" i="15"/>
  <c r="D8" i="15" s="1"/>
  <c r="D73" i="11"/>
  <c r="C22" i="11"/>
  <c r="C73" i="11"/>
  <c r="E22" i="11"/>
  <c r="D22" i="11"/>
  <c r="E73" i="11"/>
  <c r="E71" i="11"/>
</calcChain>
</file>

<file path=xl/sharedStrings.xml><?xml version="1.0" encoding="utf-8"?>
<sst xmlns="http://schemas.openxmlformats.org/spreadsheetml/2006/main" count="1029" uniqueCount="560">
  <si>
    <t>Weights:  U.S. - .35;  Alabama - .35;  Internal - .30</t>
  </si>
  <si>
    <t>EEO Category/Title</t>
  </si>
  <si>
    <t>U.S.</t>
  </si>
  <si>
    <t>Black</t>
  </si>
  <si>
    <t>Female</t>
  </si>
  <si>
    <t>Alabama</t>
  </si>
  <si>
    <t>Internal</t>
  </si>
  <si>
    <t>Financial Managers</t>
  </si>
  <si>
    <t>Total</t>
  </si>
  <si>
    <t>Current Population</t>
  </si>
  <si>
    <t>Availability</t>
  </si>
  <si>
    <t>Utilization</t>
  </si>
  <si>
    <t>Totals</t>
  </si>
  <si>
    <t>Weighted Availability</t>
  </si>
  <si>
    <t>Weighted Availability:</t>
  </si>
  <si>
    <t>United States (.35)</t>
  </si>
  <si>
    <t>Alabama (.35)</t>
  </si>
  <si>
    <t>Internal (.30)</t>
  </si>
  <si>
    <t>Weights:  Alabama - .40; Huntsville MSA - .40; Internal - .20</t>
  </si>
  <si>
    <t>Huntsville MSA</t>
  </si>
  <si>
    <t>Huntsville MSA (.40)</t>
  </si>
  <si>
    <t>Internal (.20)</t>
  </si>
  <si>
    <t>Alabama (.30)</t>
  </si>
  <si>
    <t>Madison County</t>
  </si>
  <si>
    <t>Bookkeepers, Accounting, Auditing clerks</t>
  </si>
  <si>
    <t>Madison County (.30)</t>
  </si>
  <si>
    <t>Weights:  Madison County - .30; Huntsville MSA - .50; Internal - .20)</t>
  </si>
  <si>
    <t>Budget Analyst</t>
  </si>
  <si>
    <t>Maintenance Mgmt Systems Asst</t>
  </si>
  <si>
    <t>Prototype Development Specialist</t>
  </si>
  <si>
    <t>Resident Director</t>
  </si>
  <si>
    <t>Senior Staff Assistant</t>
  </si>
  <si>
    <t>Sports Information Coordinator</t>
  </si>
  <si>
    <t>Staff Assistant</t>
  </si>
  <si>
    <t>Student Services Associate</t>
  </si>
  <si>
    <t>Huntsville MSA (.50)</t>
  </si>
  <si>
    <t>Carpenters</t>
  </si>
  <si>
    <t>Electricians</t>
  </si>
  <si>
    <t>Lead Electrician</t>
  </si>
  <si>
    <t>Painters</t>
  </si>
  <si>
    <t>Locksmiths and Safe Repairers</t>
  </si>
  <si>
    <t>Huntsville MSA (.30)</t>
  </si>
  <si>
    <t>Internal (.00)</t>
  </si>
  <si>
    <t>Weights:  Huntsville MSA - 1.00</t>
  </si>
  <si>
    <t>Senior Custodial Worker</t>
  </si>
  <si>
    <t>Senior Housekeeper</t>
  </si>
  <si>
    <t>Police Officer</t>
  </si>
  <si>
    <t>Dispatchers</t>
  </si>
  <si>
    <t>Radio Dispatcher</t>
  </si>
  <si>
    <t>Service/Maintenance</t>
  </si>
  <si>
    <t>Physical Scientists</t>
  </si>
  <si>
    <t>External</t>
  </si>
  <si>
    <t>Madison County (.00)</t>
  </si>
  <si>
    <t>Huntsville MSA (1.00)</t>
  </si>
  <si>
    <t>Research</t>
  </si>
  <si>
    <t>Min</t>
  </si>
  <si>
    <t>Directors and Managers</t>
  </si>
  <si>
    <t>Purchasing Managers</t>
  </si>
  <si>
    <t>Dir, Payroll Services</t>
  </si>
  <si>
    <t>Dir, Financial Aid</t>
  </si>
  <si>
    <t>Head Coaches</t>
  </si>
  <si>
    <t>Accountants and Auditors</t>
  </si>
  <si>
    <t>Senior Accountant</t>
  </si>
  <si>
    <t>Purchasing Agents and Buyers</t>
  </si>
  <si>
    <t>Academic Advisor</t>
  </si>
  <si>
    <t>Associate Directors</t>
  </si>
  <si>
    <t>Coordinators</t>
  </si>
  <si>
    <t>Resource Manager</t>
  </si>
  <si>
    <t>Advanced Professional</t>
  </si>
  <si>
    <t>Entry-level Professional</t>
  </si>
  <si>
    <t>Weights:  Alabama - .30; Huntsville MSA - .50; Internal - .20</t>
  </si>
  <si>
    <t>Computer Systems Engineer</t>
  </si>
  <si>
    <t>Lead Systems Programmer</t>
  </si>
  <si>
    <t>Network Analyst</t>
  </si>
  <si>
    <t>Senior Analyst</t>
  </si>
  <si>
    <t>Advanced Clerical/Support</t>
  </si>
  <si>
    <t>Senior Accounts Payable Clerk</t>
  </si>
  <si>
    <t>Records Coordinator</t>
  </si>
  <si>
    <t>Senior Records Coordinator</t>
  </si>
  <si>
    <t>Telephone Operators</t>
  </si>
  <si>
    <t>Circulation Desk Coordinator</t>
  </si>
  <si>
    <t>Charger Central Information Assistant</t>
  </si>
  <si>
    <t>Stockroom Control Clerk</t>
  </si>
  <si>
    <t>Huntsville MSA (.20)</t>
  </si>
  <si>
    <t>Internal (.50)</t>
  </si>
  <si>
    <t>Entry-level Clerical/Support</t>
  </si>
  <si>
    <t>Custodial Workers</t>
  </si>
  <si>
    <t>Alabama (.40)</t>
  </si>
  <si>
    <t>Directors &amp; Managers</t>
  </si>
  <si>
    <t>Advanced Clerical</t>
  </si>
  <si>
    <t>Entry-level Clerical</t>
  </si>
  <si>
    <t>Weights:  Madison County - .30; Huntsville MSA - .20; Internal - .50</t>
  </si>
  <si>
    <t>Weights:  Madison County - .50; Huntsville MSA - .30; Internal - .20</t>
  </si>
  <si>
    <t>Senior/Academic Administrators</t>
  </si>
  <si>
    <t>Computer/Other Technicians/Programmers/Support</t>
  </si>
  <si>
    <t>Minority</t>
  </si>
  <si>
    <t>Senior/Academic Administration</t>
  </si>
  <si>
    <t>Computer/Other Tech/Support</t>
  </si>
  <si>
    <t>Females</t>
  </si>
  <si>
    <t>Dir, Office of Sponsored Programs</t>
  </si>
  <si>
    <t>Senior Program Assistant</t>
  </si>
  <si>
    <t>Senior Network Analyst</t>
  </si>
  <si>
    <t>Interlibrary Loan/Doc. Del. Assistant</t>
  </si>
  <si>
    <t>Executive Secretary I/II</t>
  </si>
  <si>
    <t>Telecommunications Analyst</t>
  </si>
  <si>
    <t>Carpenter I/II</t>
  </si>
  <si>
    <t>EEO-1 Category Report -- Limestone, Madison Counties, AL; UAH Internal Records</t>
  </si>
  <si>
    <t>Madison County (.50)</t>
  </si>
  <si>
    <t>Human Resources Assistants</t>
  </si>
  <si>
    <t>Information and Record Clerks</t>
  </si>
  <si>
    <t>Library Assistants, Clerical</t>
  </si>
  <si>
    <t>Office &amp; Administrative Support Workers</t>
  </si>
  <si>
    <t>Secretaries &amp; Administrative Assistants</t>
  </si>
  <si>
    <t>Shipping, Receiving &amp; Traffic Clerks</t>
  </si>
  <si>
    <t>Athletes, Coaches &amp; Related Workers</t>
  </si>
  <si>
    <t>Assistant Coaches</t>
  </si>
  <si>
    <t>Chemists &amp; Materials Scientists</t>
  </si>
  <si>
    <t>Counselors</t>
  </si>
  <si>
    <t>Database Administrators</t>
  </si>
  <si>
    <t>Editors, Tech. Writers, Writers &amp; Authors</t>
  </si>
  <si>
    <t>Education Administrators</t>
  </si>
  <si>
    <t>Librarians</t>
  </si>
  <si>
    <t>Managers, All Other</t>
  </si>
  <si>
    <t>Other Business Operations Specialists</t>
  </si>
  <si>
    <t>Janitors and Building Cleaners</t>
  </si>
  <si>
    <t>Admistrative Services Managers</t>
  </si>
  <si>
    <t>Computer &amp; Info. Systems Managers</t>
  </si>
  <si>
    <t>Construction Managers</t>
  </si>
  <si>
    <t>Office &amp; Admin. Support Workers</t>
  </si>
  <si>
    <t>Biological Technicians</t>
  </si>
  <si>
    <t>Budget Analysts</t>
  </si>
  <si>
    <t>Humanities Center Program Assistant</t>
  </si>
  <si>
    <t>Purchasing Agents</t>
  </si>
  <si>
    <t>Residential Advisors</t>
  </si>
  <si>
    <t>Administrative Assistant</t>
  </si>
  <si>
    <t>Research Associate II</t>
  </si>
  <si>
    <t>Research Assistant V</t>
  </si>
  <si>
    <t>Research Scientist II</t>
  </si>
  <si>
    <t>Research Scientist V</t>
  </si>
  <si>
    <t>Aerospace Engineers</t>
  </si>
  <si>
    <t>Research Associate III</t>
  </si>
  <si>
    <t>Principal Research Scientist III</t>
  </si>
  <si>
    <t>Research Scientist III</t>
  </si>
  <si>
    <t>Astronomers &amp; Physicists</t>
  </si>
  <si>
    <t>Atmospheric &amp; Space Scientists</t>
  </si>
  <si>
    <t>Biological Scientists</t>
  </si>
  <si>
    <t>Deans</t>
  </si>
  <si>
    <t>Director, Research Institute</t>
  </si>
  <si>
    <t>General &amp; Operations Managers</t>
  </si>
  <si>
    <t>Automotive Service Tech/Mechanics</t>
  </si>
  <si>
    <t>Mechanic II</t>
  </si>
  <si>
    <t>Mechanic's Helper</t>
  </si>
  <si>
    <t>First-line Supv., Police &amp; Detectives</t>
  </si>
  <si>
    <t>Grounds Maintenance Workers</t>
  </si>
  <si>
    <t>Landscaper I/II</t>
  </si>
  <si>
    <t>HVAC Technician I/II</t>
  </si>
  <si>
    <t>Lead HVAC Technician</t>
  </si>
  <si>
    <t>Maintenance &amp; Repair Workers</t>
  </si>
  <si>
    <t>Maintenance Worker I/II</t>
  </si>
  <si>
    <t>Painter I/II</t>
  </si>
  <si>
    <t>Pipelayers, Plumbers, Pipefitters, et al</t>
  </si>
  <si>
    <t>Police Officers</t>
  </si>
  <si>
    <t>Police Sergeant</t>
  </si>
  <si>
    <t>Broadcast &amp; Sound Engineering Techs.</t>
  </si>
  <si>
    <t>Computer &amp; Office Machine Repairers</t>
  </si>
  <si>
    <t>Registrar</t>
  </si>
  <si>
    <t>Admissions Coordinator</t>
  </si>
  <si>
    <t>Heating, Air Conditioning &amp; Refrig Mech</t>
  </si>
  <si>
    <t>Campus Safety Specialist</t>
  </si>
  <si>
    <t>Research Associate I</t>
  </si>
  <si>
    <t>Research Scientist I</t>
  </si>
  <si>
    <t>Principal Research Engineer VI</t>
  </si>
  <si>
    <t>Principal Research Scientist IV</t>
  </si>
  <si>
    <t>Principal Research Scientist VI</t>
  </si>
  <si>
    <t>Research Scientist VI</t>
  </si>
  <si>
    <t>Principal Research Engineer IV</t>
  </si>
  <si>
    <t>Principal Research Scientist II</t>
  </si>
  <si>
    <t>Research Assistant IV</t>
  </si>
  <si>
    <t>Research Engineer II</t>
  </si>
  <si>
    <t>Research Engineer III</t>
  </si>
  <si>
    <t>Custodial Supervisor</t>
  </si>
  <si>
    <t>Maintenance Technician I/II</t>
  </si>
  <si>
    <t>Information Systems Analyst</t>
  </si>
  <si>
    <t>Information Systems Analyst II/III</t>
  </si>
  <si>
    <t>Principal Research Scientist I</t>
  </si>
  <si>
    <t>Principal Research Scientist V</t>
  </si>
  <si>
    <t>Research Assistant II</t>
  </si>
  <si>
    <t>Research Assistant III</t>
  </si>
  <si>
    <t>Research Scientist IV</t>
  </si>
  <si>
    <t>Research Technician V</t>
  </si>
  <si>
    <t>Research Engineer V</t>
  </si>
  <si>
    <t>Research Technician VII</t>
  </si>
  <si>
    <t>Sr. Administrative Assistant</t>
  </si>
  <si>
    <t>Senior Business Services Asst</t>
  </si>
  <si>
    <t>Lab Support Technician</t>
  </si>
  <si>
    <t>Housekeeper</t>
  </si>
  <si>
    <t>Custodial Floor Technician</t>
  </si>
  <si>
    <t>Student Accounts Assistant</t>
  </si>
  <si>
    <t>Security Administrator</t>
  </si>
  <si>
    <t>Director, Ofc of Tech Commercialization</t>
  </si>
  <si>
    <t>Assoc VP, Advancement</t>
  </si>
  <si>
    <t>Principal Research Engineer V</t>
  </si>
  <si>
    <t>Research Assistant VII</t>
  </si>
  <si>
    <t>Research Technician VI</t>
  </si>
  <si>
    <t>Research Engineer I</t>
  </si>
  <si>
    <t>Dir, Undergrad Admiss &amp; Advis</t>
  </si>
  <si>
    <t>Dir, Charger Card Operations</t>
  </si>
  <si>
    <t>Dir, Int Student Recruit &amp; Proc</t>
  </si>
  <si>
    <t>Software Applications Coord</t>
  </si>
  <si>
    <t>HVAC Technician III</t>
  </si>
  <si>
    <t>Director, Intercollegiate Athletics</t>
  </si>
  <si>
    <t>Provost/Exec VP, Academic Affairs</t>
  </si>
  <si>
    <t>Assoc VP, Research</t>
  </si>
  <si>
    <t>Dir, Accounting &amp; Financial Rpt.</t>
  </si>
  <si>
    <t>Dir, Custodial Services</t>
  </si>
  <si>
    <t>Vice Presidents</t>
  </si>
  <si>
    <t>Principal Associate Director, SMAP</t>
  </si>
  <si>
    <t>Dir, Graduate Pgms/Undergrad Advising</t>
  </si>
  <si>
    <t>Dir, Graduate Admissions/Advising</t>
  </si>
  <si>
    <t>Chemistry Stockroom Manager</t>
  </si>
  <si>
    <t>Assistant to the President</t>
  </si>
  <si>
    <t>Special Events Planner</t>
  </si>
  <si>
    <t>Procurement Services Technician II</t>
  </si>
  <si>
    <t>Telecommunications Services Clerk</t>
  </si>
  <si>
    <t>Human Resources Generalist I/II</t>
  </si>
  <si>
    <t>Senior Academic Advisor</t>
  </si>
  <si>
    <t>Custodial Worker I/II</t>
  </si>
  <si>
    <t>Dir, Student Health Svcs</t>
  </si>
  <si>
    <t>Dir, Contracts &amp; Grants Accounting</t>
  </si>
  <si>
    <t>Dir, Advancement Services</t>
  </si>
  <si>
    <t>Dir, Procurement &amp; Business Services</t>
  </si>
  <si>
    <t>Circulation Night Manager</t>
  </si>
  <si>
    <t>Student Research Program Coordinator</t>
  </si>
  <si>
    <t>Coordinator, Marketing, Promotions &amp; Licensing</t>
  </si>
  <si>
    <t>Assoc VP, Budgets &amp; Financial Planning</t>
  </si>
  <si>
    <t>Groundskeeper/Groundskeeper I</t>
  </si>
  <si>
    <t>Plumber I/II</t>
  </si>
  <si>
    <t>Copy Center Coordinator</t>
  </si>
  <si>
    <t>Instructional Technology Specialist</t>
  </si>
  <si>
    <t>Research Technician IV</t>
  </si>
  <si>
    <t>Postdoctoral Research Assistant II</t>
  </si>
  <si>
    <t>President</t>
  </si>
  <si>
    <t>Dir, Athletics Compliance</t>
  </si>
  <si>
    <t>Dir, Library Computer Systems</t>
  </si>
  <si>
    <t>Sr. Consultant &amp; Dir, SBDC</t>
  </si>
  <si>
    <t>Procurement Officer II</t>
  </si>
  <si>
    <t>Nurse Practitioner</t>
  </si>
  <si>
    <t>Procurement Card Coordinator</t>
  </si>
  <si>
    <t>Publications Designer</t>
  </si>
  <si>
    <t>Procurement Officer I</t>
  </si>
  <si>
    <t>Campus Visit Coordinator</t>
  </si>
  <si>
    <t>Warehouse Operations Clerk</t>
  </si>
  <si>
    <t>Police Captain</t>
  </si>
  <si>
    <t>Research Associate IV</t>
  </si>
  <si>
    <t>Lieutenant</t>
  </si>
  <si>
    <t>Public Relations and Fundraising Managers</t>
  </si>
  <si>
    <t>PR and Fundraising Managers</t>
  </si>
  <si>
    <t>Chief Executives and Legislators</t>
  </si>
  <si>
    <t>Human Resource Managers, Compensation &amp; Benefits Managers</t>
  </si>
  <si>
    <t>Astronomers &amp; Physicists, Atmospheric &amp; Space Scientists, Physical Scientists, Computer Analysts, Computer &amp; Information Research Scientists</t>
  </si>
  <si>
    <t>Financial Managers, Economists, Market Research Analysts &amp; Marketing Specialists</t>
  </si>
  <si>
    <t>Computer Analysts, Computer &amp; Information Research Scientists</t>
  </si>
  <si>
    <t>Architects, except naval</t>
  </si>
  <si>
    <t>Athletes, Coaches, Umpires &amp; Related Workers</t>
  </si>
  <si>
    <t>First-line Supv/Landscaping, Lawn Service, &amp; Groundskeeping Workers</t>
  </si>
  <si>
    <t>Human Resources Managers, Compensation &amp; Benefits Managers</t>
  </si>
  <si>
    <t>First Line Supervisors, Police &amp; Detectives</t>
  </si>
  <si>
    <t>Engineering Technicians, except drafters</t>
  </si>
  <si>
    <t>Bookkeeping, Accounting, Auditing Clerks</t>
  </si>
  <si>
    <t>Mail Clerks/Mail Machine Operators, except postal service</t>
  </si>
  <si>
    <t>Human Resources Workers</t>
  </si>
  <si>
    <t>Human Resources Workers; Compensation, Benefits, and Job Analysis Specialists</t>
  </si>
  <si>
    <t>Nurse Practitioner and Nurse Midwives</t>
  </si>
  <si>
    <t>Communications Officer</t>
  </si>
  <si>
    <t>Photographer</t>
  </si>
  <si>
    <t>Program Administrator, CSPAR</t>
  </si>
  <si>
    <t xml:space="preserve">   Research Writer/Editor</t>
  </si>
  <si>
    <t>Coordinator, Distance Learning</t>
  </si>
  <si>
    <t>Proposal &amp; Property Coord</t>
  </si>
  <si>
    <t>IT Administrator, CE</t>
  </si>
  <si>
    <t>IT Technician, ESSC</t>
  </si>
  <si>
    <t>Assoc VP, Finance &amp; Business Services</t>
  </si>
  <si>
    <t>Assoc VP, Human Resources</t>
  </si>
  <si>
    <t>Sports Information Director</t>
  </si>
  <si>
    <t>Marketing Coordinator, Graduate Studies</t>
  </si>
  <si>
    <t>PASS Coordinator II</t>
  </si>
  <si>
    <t>PTAC Counselor</t>
  </si>
  <si>
    <t>Senior Accred Databse Res Coordinator</t>
  </si>
  <si>
    <t>Manager, Gift Accounting</t>
  </si>
  <si>
    <t>Photographers</t>
  </si>
  <si>
    <t>Public Relations and Fundraising Specialists</t>
  </si>
  <si>
    <t>Web Content Administrator</t>
  </si>
  <si>
    <t>Software Developers, Apps. and Systems Software</t>
  </si>
  <si>
    <t>Senior Software Development Lead</t>
  </si>
  <si>
    <t>Web Developers</t>
  </si>
  <si>
    <t>Computer and Information Systems Managers</t>
  </si>
  <si>
    <t>Computer Programmers</t>
  </si>
  <si>
    <t>Computer Systems Analysts</t>
  </si>
  <si>
    <t>Computer Hardware Engineers, Computer Support Specialists, Computer Occupations, all other</t>
  </si>
  <si>
    <t>Locksmith I/II</t>
  </si>
  <si>
    <t>Source:  Alabama Department of Industrial Relations; U.S. Department of Labor; 2010 EEO Special Census File United States</t>
  </si>
  <si>
    <t>Principal Research Engineer VII</t>
  </si>
  <si>
    <t>Director, Proposal Development Office</t>
  </si>
  <si>
    <t>Principal Director, SMAP Center</t>
  </si>
  <si>
    <t>Research Assistant VI</t>
  </si>
  <si>
    <t>Research Associate V</t>
  </si>
  <si>
    <t>Chief Information Security Officer</t>
  </si>
  <si>
    <t>Dir, Annual Giving &amp; Research</t>
  </si>
  <si>
    <t>Research Budget Director</t>
  </si>
  <si>
    <t>Sr Assoc Dir, Office of Sponsored Pgms</t>
  </si>
  <si>
    <t>Program Administrator, ITSC</t>
  </si>
  <si>
    <t>Program Coordinator, PCS</t>
  </si>
  <si>
    <t>Senior Resource Manager</t>
  </si>
  <si>
    <t>Dir, Hockey Operations</t>
  </si>
  <si>
    <t>Sustainability Coordinator</t>
  </si>
  <si>
    <t>Applications Systems Administrator</t>
  </si>
  <si>
    <t>Information Security Engineer</t>
  </si>
  <si>
    <t>Accounting Assistant</t>
  </si>
  <si>
    <t>Asset Management Assistant I</t>
  </si>
  <si>
    <t>Mail Services Clerk</t>
  </si>
  <si>
    <t>Plant Systems Assistant</t>
  </si>
  <si>
    <t>Secretary I/II</t>
  </si>
  <si>
    <t>Senior Security Assistant, NSSTC</t>
  </si>
  <si>
    <t>Mechanical/Electrical Specialist I</t>
  </si>
  <si>
    <t>Associate VP, Student Affairs</t>
  </si>
  <si>
    <t>Dir, Admissions</t>
  </si>
  <si>
    <t>Dir, Institutional Research &amp; Assmt</t>
  </si>
  <si>
    <t>Dir, Professional Development</t>
  </si>
  <si>
    <t>Sr Assoc Dir, Admissions</t>
  </si>
  <si>
    <t>Sr Assoc Dir, Prof &amp; Cont Studies</t>
  </si>
  <si>
    <t>Academic Advisor/Outreach Coord, Eng</t>
  </si>
  <si>
    <t>Assoc Dir, Acctg &amp; Fin Reptg</t>
  </si>
  <si>
    <t>Asst Dir, Employment</t>
  </si>
  <si>
    <t>Asst Dir, Institutional Research</t>
  </si>
  <si>
    <t>International Advisor</t>
  </si>
  <si>
    <t>Payroll Systems Administrator</t>
  </si>
  <si>
    <t>Program Administrator, PRC</t>
  </si>
  <si>
    <t>Senior Woman Administrator</t>
  </si>
  <si>
    <t>Senior Coordinator, ESSC Programs</t>
  </si>
  <si>
    <t>Senior Payroll Accountant</t>
  </si>
  <si>
    <t>Preschool and Kindergarten teachers</t>
  </si>
  <si>
    <t>Admissions Counselor</t>
  </si>
  <si>
    <t>Career Development Coordinator I</t>
  </si>
  <si>
    <t>Coordinator, Marketing &amp; Events</t>
  </si>
  <si>
    <t>Academic Technologist</t>
  </si>
  <si>
    <t>Systems Engineer I/II/III</t>
  </si>
  <si>
    <t>Instructional Designer/Online Education</t>
  </si>
  <si>
    <t>Manager, Academic Technologies</t>
  </si>
  <si>
    <t>Manager, Client Services</t>
  </si>
  <si>
    <t>Electrician I/II, Electrical Lighting Tech I</t>
  </si>
  <si>
    <t>Senior Plumber</t>
  </si>
  <si>
    <t>Building Maintenance Technician</t>
  </si>
  <si>
    <t>Custodial Floor Tech. Supervisor</t>
  </si>
  <si>
    <t>Cashiers</t>
  </si>
  <si>
    <t>Cashier I</t>
  </si>
  <si>
    <t>Receptionist</t>
  </si>
  <si>
    <t>Receptionists and Information Clerks</t>
  </si>
  <si>
    <t>Copy Center Clerk I</t>
  </si>
  <si>
    <t>Human Resources Assistant I</t>
  </si>
  <si>
    <t>Research Engineer VI</t>
  </si>
  <si>
    <t>Business Services Assistant</t>
  </si>
  <si>
    <t>Warehouse Operations Assistant</t>
  </si>
  <si>
    <t>Dir, Counseling Services</t>
  </si>
  <si>
    <t>Dir, Charger Union &amp; CTC</t>
  </si>
  <si>
    <t>Sr Assoc Dir, Financial Aid</t>
  </si>
  <si>
    <t>Dir, AMSTI UAH</t>
  </si>
  <si>
    <t>Academic Coordinator, Science</t>
  </si>
  <si>
    <t>Senior Associate Registrar</t>
  </si>
  <si>
    <t>Honors College Administrator</t>
  </si>
  <si>
    <t>Program Specialist, Kinesiology</t>
  </si>
  <si>
    <t>Tutor Coordinator II</t>
  </si>
  <si>
    <t>Budget/Financial Support Admin</t>
  </si>
  <si>
    <t>Certification Officer/Acad Advisor</t>
  </si>
  <si>
    <t>Assistant Athletic Trainer</t>
  </si>
  <si>
    <t>Junior Contract Administrator I/II</t>
  </si>
  <si>
    <t>Lead Teacher, OSR</t>
  </si>
  <si>
    <t>Program Coordinator, CSPAR</t>
  </si>
  <si>
    <t>Event Scheduling Administrator</t>
  </si>
  <si>
    <t>Financial Aid Counselor</t>
  </si>
  <si>
    <t>Student Accounts Associate</t>
  </si>
  <si>
    <t>Distance Lrng Telecomm Spec</t>
  </si>
  <si>
    <t>Desktop Support Technician I/II</t>
  </si>
  <si>
    <t>Dir, Instructional Technology</t>
  </si>
  <si>
    <t>Senior Web Programmer</t>
  </si>
  <si>
    <t>Circ Accts/Govnt Docs Asst</t>
  </si>
  <si>
    <t>Registration Coordinator, PCS</t>
  </si>
  <si>
    <t>Library Materials Assistant</t>
  </si>
  <si>
    <t>Web Services/Reference Asst</t>
  </si>
  <si>
    <t>Office Manager, Fac/Staff Clinic</t>
  </si>
  <si>
    <t>Multicultural Affairs Assistant</t>
  </si>
  <si>
    <t>Auxiliary Teacher, OSR</t>
  </si>
  <si>
    <t>Data Control Assistant</t>
  </si>
  <si>
    <t>Financial Aid Office Assistant</t>
  </si>
  <si>
    <t>Landscape Maintenance Lead</t>
  </si>
  <si>
    <t>Irrigation Maintenance/Spray Tech</t>
  </si>
  <si>
    <t>Assistant VP Pub Sfty/Chief Police</t>
  </si>
  <si>
    <t>Dir, Network Infrastructure</t>
  </si>
  <si>
    <t>Dir, Risk Management</t>
  </si>
  <si>
    <t>Dean of Students</t>
  </si>
  <si>
    <t>Director, Invention/Innovation Center</t>
  </si>
  <si>
    <t>Assoc VP, Facilities &amp; Operations</t>
  </si>
  <si>
    <t>Senior Campus Architect</t>
  </si>
  <si>
    <t>Dir, Facilities Maintenance</t>
  </si>
  <si>
    <t>Dir, Early Learning Center</t>
  </si>
  <si>
    <t>Sr Dir, Grounds Management</t>
  </si>
  <si>
    <t>Dir, Employment &amp; Emp Relations</t>
  </si>
  <si>
    <t>Executive Dir, Human Resources</t>
  </si>
  <si>
    <t>Dir, Admissions Communications</t>
  </si>
  <si>
    <t>Dir, Student Ethics/Education</t>
  </si>
  <si>
    <t>Warehouse Operations Mgr</t>
  </si>
  <si>
    <t>Asst to Pres,Gov Rel/Econ Dev</t>
  </si>
  <si>
    <t>Assistant Coach II, Hockey</t>
  </si>
  <si>
    <t>Academic Success Specialist</t>
  </si>
  <si>
    <t>Assistant Dir, ASGC</t>
  </si>
  <si>
    <t>Assistant Dir, Assessment</t>
  </si>
  <si>
    <t>Assistant Dir, Counseling Services</t>
  </si>
  <si>
    <t>Assistant Dir, Fin Aid-Scholarships</t>
  </si>
  <si>
    <t>Assistant Dir, Financial Aid Pgms</t>
  </si>
  <si>
    <t>Assistant Dir, Resident Prog &amp; Educ</t>
  </si>
  <si>
    <t>Assistant Dir, Testing/Cert Service</t>
  </si>
  <si>
    <t>Coordinator II, Research Programs</t>
  </si>
  <si>
    <t>Director, International Student Sch</t>
  </si>
  <si>
    <t>Director, Student Life</t>
  </si>
  <si>
    <t>Program Administrator, F&amp;O</t>
  </si>
  <si>
    <t>Senior Coordinator for Career Services</t>
  </si>
  <si>
    <t>Strength &amp; Conditioning Coach</t>
  </si>
  <si>
    <t>Senior HRIS Administrator</t>
  </si>
  <si>
    <t>Asst Dir, Alumni Relations</t>
  </si>
  <si>
    <t>Asst Dir, Event Productions</t>
  </si>
  <si>
    <t>Asst Dir, Outreach/Event Mgmt</t>
  </si>
  <si>
    <t>Brand Specialist Designer</t>
  </si>
  <si>
    <t xml:space="preserve">  Major Gift Officer</t>
  </si>
  <si>
    <t xml:space="preserve">  Marketing Manager</t>
  </si>
  <si>
    <t>Pcard Services Supervisor</t>
  </si>
  <si>
    <t>Teacher II</t>
  </si>
  <si>
    <t>Teacher III</t>
  </si>
  <si>
    <t>Program &amp; Proposal Coordinator</t>
  </si>
  <si>
    <t>Mgr, Professional Development</t>
  </si>
  <si>
    <t>Asst Dir, Proposal Development</t>
  </si>
  <si>
    <t>Materials Mgr, AMSTI</t>
  </si>
  <si>
    <t>Asst Dir, Facilities Maintenance</t>
  </si>
  <si>
    <t>Head of Technical Services/Librarian</t>
  </si>
  <si>
    <t>Accountant II</t>
  </si>
  <si>
    <t>Bio. Safety/Supply Supervisor</t>
  </si>
  <si>
    <t>Admissions Counselor/Coord, Ad</t>
  </si>
  <si>
    <t>Admissions Processing Counselor</t>
  </si>
  <si>
    <t>Teacher I</t>
  </si>
  <si>
    <t>Assistant Dir, Charger Union</t>
  </si>
  <si>
    <t>Assistant Dir, Student Life</t>
  </si>
  <si>
    <t>Employment &amp; Comp Associate</t>
  </si>
  <si>
    <t>Senior Ben &amp; Empl Serv Rep</t>
  </si>
  <si>
    <t>Research Budget Coordinator</t>
  </si>
  <si>
    <t>Payroll Accountant</t>
  </si>
  <si>
    <t>ALDOT Business Counselor</t>
  </si>
  <si>
    <t>Assistant Security Administrator</t>
  </si>
  <si>
    <t>Coordinator, Honors College</t>
  </si>
  <si>
    <t>Coordinator, Veterans Services</t>
  </si>
  <si>
    <t>Group Study Programs Coordinator</t>
  </si>
  <si>
    <t>Instruc Lib/User Servcs Admin</t>
  </si>
  <si>
    <t>Laboratory Technician</t>
  </si>
  <si>
    <t>Professional Development Coordinator</t>
  </si>
  <si>
    <t>Tutor Coordinator</t>
  </si>
  <si>
    <t>Studio/Facility Manager</t>
  </si>
  <si>
    <t>Supervisor, Parking Management</t>
  </si>
  <si>
    <t>Senior Web Communications Coord</t>
  </si>
  <si>
    <t>Web Content Developer</t>
  </si>
  <si>
    <t>Web UI Designer</t>
  </si>
  <si>
    <t>IT Analyst</t>
  </si>
  <si>
    <t>Information Systems Specialist</t>
  </si>
  <si>
    <t>Director, Web Communications</t>
  </si>
  <si>
    <t>E-Learning Developer</t>
  </si>
  <si>
    <t>Virtual Learning Coordinator</t>
  </si>
  <si>
    <t>Office Manager, Music</t>
  </si>
  <si>
    <t>Police Assistant II</t>
  </si>
  <si>
    <t>Mail Services Supervisor</t>
  </si>
  <si>
    <t>Arts Coordinator &amp; Accompanist</t>
  </si>
  <si>
    <t>Client Services Coordinator</t>
  </si>
  <si>
    <t>Coordinator, Student Success</t>
  </si>
  <si>
    <t>Coordinator, Grant &amp; Proposal</t>
  </si>
  <si>
    <t>Police Assistant I</t>
  </si>
  <si>
    <t>Teacher's Assistant</t>
  </si>
  <si>
    <t>Material Control Assistant I/II</t>
  </si>
  <si>
    <t>Payroll Assistant</t>
  </si>
  <si>
    <t>Accounts Payable Assistant</t>
  </si>
  <si>
    <t>Custodial Operations Supervisor</t>
  </si>
  <si>
    <t>HVAC Controls Technician</t>
  </si>
  <si>
    <t>Supervisor, Bldg Maintenance/Repair</t>
  </si>
  <si>
    <t>Supervisor, Auxiliaries Maint</t>
  </si>
  <si>
    <t>Police Sergeant, FTO/Instructor</t>
  </si>
  <si>
    <t>Police Sgt/Crim Inves/FTO Instruct</t>
  </si>
  <si>
    <t>Parking Enforce/Sec Officer</t>
  </si>
  <si>
    <t xml:space="preserve">  Principal Research Engineer II</t>
  </si>
  <si>
    <t>Principal Research Engineer III</t>
  </si>
  <si>
    <t>Financial Aid Specialist</t>
  </si>
  <si>
    <t>Senior Accounting Assistant</t>
  </si>
  <si>
    <t>Multimedia Lab Technician</t>
  </si>
  <si>
    <t>Program Coordinator, OLLI</t>
  </si>
  <si>
    <t>Asst Materials Manager, AMSTI</t>
  </si>
  <si>
    <t>Contracts and Grants Accountant</t>
  </si>
  <si>
    <t>Campus Architect I</t>
  </si>
  <si>
    <t>Director, Undergraduate Research</t>
  </si>
  <si>
    <t>Outreach/Retention Coordinator, COS</t>
  </si>
  <si>
    <t>Program Administrator, RSESC</t>
  </si>
  <si>
    <t>Assistant Dir, Residence Life</t>
  </si>
  <si>
    <t>Assistant Budget Director</t>
  </si>
  <si>
    <t>Effort Compliance Officer</t>
  </si>
  <si>
    <t>Research Program Coordinator</t>
  </si>
  <si>
    <t>Exec Asst to the VP, Finance &amp; Admin</t>
  </si>
  <si>
    <t>Exec Asst to the VP, Research</t>
  </si>
  <si>
    <t>Exec Asst to the Provost</t>
  </si>
  <si>
    <t>Contracts and Grants Specialist I</t>
  </si>
  <si>
    <t>Contracts and Grants Specialist III</t>
  </si>
  <si>
    <t>Dir, Corp &amp; Foundation Gifts</t>
  </si>
  <si>
    <t>Asst Dir, Benefits/Tech Mgmt</t>
  </si>
  <si>
    <t>Interim Dir, Env Health &amp; Safety</t>
  </si>
  <si>
    <t>Dir, Campus Recreation</t>
  </si>
  <si>
    <t>Dir, Research Info Systems</t>
  </si>
  <si>
    <t>Dir, Housing &amp; Residence Life</t>
  </si>
  <si>
    <t>Sr Associate Dir</t>
  </si>
  <si>
    <t>Project Manager</t>
  </si>
  <si>
    <t>Accounts Payable Clerk</t>
  </si>
  <si>
    <t>Contracts &amp; Grants Assistant</t>
  </si>
  <si>
    <t>Materials Clerk, AMSTI</t>
  </si>
  <si>
    <t xml:space="preserve">Materials Handler, AMSTI </t>
  </si>
  <si>
    <t>Materials/Purchasing Clerk, AMSTI</t>
  </si>
  <si>
    <t>Assistant Dir, Facility Operations</t>
  </si>
  <si>
    <t>Sr Coordinator, Disability Support Svcs</t>
  </si>
  <si>
    <t>Program Coordinator, PRC</t>
  </si>
  <si>
    <t>Instructional Testing Coordinator</t>
  </si>
  <si>
    <t>Coordinator I, Human Resources</t>
  </si>
  <si>
    <t>Contracts and Grants Administrator</t>
  </si>
  <si>
    <t>Contracts and Grants Specialist I/II</t>
  </si>
  <si>
    <t>EPSCoR Outreach Coordinator</t>
  </si>
  <si>
    <t>Coordinator, Development Relations</t>
  </si>
  <si>
    <t>Digital Projects Specialist</t>
  </si>
  <si>
    <t>Academic Affairs Assistant</t>
  </si>
  <si>
    <t>Office Manager, Student Health Center</t>
  </si>
  <si>
    <t>Speech-Language Pathologists</t>
  </si>
  <si>
    <t>Speech Therapist</t>
  </si>
  <si>
    <t>Dierctor, Center for Applied Optics</t>
  </si>
  <si>
    <t>Director, RSESC</t>
  </si>
  <si>
    <t>Interim Vice Presidents</t>
  </si>
  <si>
    <t>Chief of Staff/Interim VP, Mktg &amp; Comm</t>
  </si>
  <si>
    <t>Chief Information Officer</t>
  </si>
  <si>
    <t>Interim Associate Dean</t>
  </si>
  <si>
    <t>Senior Director, Student Affairs</t>
  </si>
  <si>
    <t>Dierctor, Earth System Science Center</t>
  </si>
  <si>
    <t>Associate Dean</t>
  </si>
  <si>
    <t>Associate Provost, Und Stud/Ins Ef</t>
  </si>
  <si>
    <t>Maintenance Technician Helper</t>
  </si>
  <si>
    <t>Academic Technology Support Tech</t>
  </si>
  <si>
    <t>Computer Support Specialists</t>
  </si>
  <si>
    <t>Help Desk Associate I</t>
  </si>
  <si>
    <t>Computer Systems Specialist, COE</t>
  </si>
  <si>
    <t>Network Engineer I/II</t>
  </si>
  <si>
    <t>Operations Specialist, RIS</t>
  </si>
  <si>
    <t>Instructional Designer</t>
  </si>
  <si>
    <t>Network Technician I</t>
  </si>
  <si>
    <t>Web Coordinator I</t>
  </si>
  <si>
    <t>STAFF AVAILABILITY ANALYSIS SUMMARY - August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</si>
</sst>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left" indent="1"/>
    </xf>
    <xf numFmtId="3" fontId="5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right"/>
    </xf>
    <xf numFmtId="10" fontId="4" fillId="2" borderId="0" xfId="1" applyNumberFormat="1" applyFont="1" applyFill="1" applyAlignment="1">
      <alignment horizontal="right"/>
    </xf>
    <xf numFmtId="10" fontId="8" fillId="2" borderId="0" xfId="1" applyNumberFormat="1" applyFont="1" applyFill="1" applyAlignment="1">
      <alignment horizontal="right"/>
    </xf>
    <xf numFmtId="3" fontId="5" fillId="0" borderId="0" xfId="0" applyNumberFormat="1" applyFont="1"/>
    <xf numFmtId="3" fontId="4" fillId="0" borderId="0" xfId="0" applyNumberFormat="1" applyFont="1" applyAlignment="1"/>
    <xf numFmtId="10" fontId="4" fillId="2" borderId="0" xfId="1" applyNumberFormat="1" applyFont="1" applyFill="1"/>
    <xf numFmtId="3" fontId="5" fillId="0" borderId="0" xfId="0" applyNumberFormat="1" applyFont="1" applyAlignment="1">
      <alignment wrapText="1"/>
    </xf>
    <xf numFmtId="10" fontId="4" fillId="0" borderId="0" xfId="1" applyNumberFormat="1" applyFont="1"/>
    <xf numFmtId="3" fontId="4" fillId="2" borderId="0" xfId="0" applyNumberFormat="1" applyFont="1" applyFill="1"/>
    <xf numFmtId="3" fontId="5" fillId="0" borderId="0" xfId="0" applyNumberFormat="1" applyFont="1" applyAlignment="1"/>
    <xf numFmtId="0" fontId="4" fillId="0" borderId="0" xfId="0" applyFont="1" applyBorder="1" applyAlignment="1">
      <alignment horizontal="left" indent="1"/>
    </xf>
    <xf numFmtId="3" fontId="5" fillId="0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 indent="1"/>
    </xf>
    <xf numFmtId="3" fontId="5" fillId="0" borderId="0" xfId="0" applyNumberFormat="1" applyFont="1" applyAlignment="1">
      <alignment horizontal="center"/>
    </xf>
    <xf numFmtId="3" fontId="5" fillId="4" borderId="0" xfId="0" applyNumberFormat="1" applyFont="1" applyFill="1"/>
    <xf numFmtId="3" fontId="4" fillId="4" borderId="0" xfId="0" applyNumberFormat="1" applyFont="1" applyFill="1"/>
    <xf numFmtId="10" fontId="7" fillId="2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left" wrapText="1"/>
    </xf>
    <xf numFmtId="10" fontId="4" fillId="4" borderId="0" xfId="1" applyNumberFormat="1" applyFont="1" applyFill="1"/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0" fontId="4" fillId="0" borderId="0" xfId="2" applyFont="1"/>
    <xf numFmtId="10" fontId="9" fillId="3" borderId="0" xfId="1" applyNumberFormat="1" applyFont="1" applyFill="1"/>
    <xf numFmtId="10" fontId="4" fillId="0" borderId="0" xfId="2" applyNumberFormat="1" applyFont="1"/>
    <xf numFmtId="10" fontId="9" fillId="3" borderId="0" xfId="2" applyNumberFormat="1" applyFont="1" applyFill="1"/>
    <xf numFmtId="0" fontId="3" fillId="3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5" borderId="3" xfId="2" applyFont="1" applyFill="1" applyBorder="1" applyAlignment="1">
      <alignment horizontal="centerContinuous"/>
    </xf>
    <xf numFmtId="0" fontId="3" fillId="5" borderId="2" xfId="2" applyFont="1" applyFill="1" applyBorder="1" applyAlignment="1">
      <alignment horizontal="centerContinuous"/>
    </xf>
    <xf numFmtId="0" fontId="3" fillId="5" borderId="1" xfId="2" applyFont="1" applyFill="1" applyBorder="1" applyAlignment="1">
      <alignment horizontal="centerContinuous"/>
    </xf>
    <xf numFmtId="3" fontId="5" fillId="0" borderId="0" xfId="0" applyNumberFormat="1" applyFont="1" applyAlignment="1">
      <alignment horizontal="center"/>
    </xf>
    <xf numFmtId="3" fontId="3" fillId="5" borderId="0" xfId="0" applyNumberFormat="1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5334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5334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B1" sqref="B1"/>
    </sheetView>
  </sheetViews>
  <sheetFormatPr defaultRowHeight="12.75" x14ac:dyDescent="0.2"/>
  <cols>
    <col min="1" max="1" width="37" style="33" customWidth="1"/>
    <col min="2" max="9" width="10.83203125" style="33" customWidth="1"/>
    <col min="10" max="16384" width="9.33203125" style="33"/>
  </cols>
  <sheetData>
    <row r="1" spans="1:10" x14ac:dyDescent="0.2">
      <c r="A1" s="45" t="s">
        <v>559</v>
      </c>
      <c r="B1" s="44"/>
      <c r="C1" s="44"/>
      <c r="D1" s="44"/>
      <c r="E1" s="44"/>
      <c r="F1" s="44"/>
      <c r="G1" s="44"/>
      <c r="H1" s="44"/>
      <c r="I1" s="44"/>
      <c r="J1" s="43"/>
    </row>
    <row r="2" spans="1:10" x14ac:dyDescent="0.2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">
      <c r="B4" s="41" t="s">
        <v>3</v>
      </c>
      <c r="C4" s="40"/>
      <c r="D4" s="39"/>
      <c r="E4" s="41" t="s">
        <v>95</v>
      </c>
      <c r="F4" s="40"/>
      <c r="G4" s="39"/>
      <c r="H4" s="41" t="s">
        <v>98</v>
      </c>
      <c r="I4" s="40"/>
      <c r="J4" s="39"/>
    </row>
    <row r="5" spans="1:10" x14ac:dyDescent="0.2">
      <c r="B5" s="38" t="s">
        <v>51</v>
      </c>
      <c r="C5" s="38" t="s">
        <v>6</v>
      </c>
      <c r="D5" s="37" t="s">
        <v>8</v>
      </c>
      <c r="E5" s="38" t="s">
        <v>51</v>
      </c>
      <c r="F5" s="38" t="s">
        <v>6</v>
      </c>
      <c r="G5" s="37" t="s">
        <v>8</v>
      </c>
      <c r="H5" s="38" t="s">
        <v>51</v>
      </c>
      <c r="I5" s="38" t="s">
        <v>6</v>
      </c>
      <c r="J5" s="37" t="s">
        <v>8</v>
      </c>
    </row>
    <row r="6" spans="1:10" x14ac:dyDescent="0.2">
      <c r="A6" s="33" t="s">
        <v>96</v>
      </c>
      <c r="B6" s="35">
        <f>SUM(SrAd!B66:B67)</f>
        <v>7.9832786463867739E-2</v>
      </c>
      <c r="C6" s="35">
        <f>+SrAd!B68</f>
        <v>2.8899999999999999E-2</v>
      </c>
      <c r="D6" s="36">
        <f t="shared" ref="D6:D15" si="0">SUM(B6:C6)</f>
        <v>0.10873278646386773</v>
      </c>
      <c r="E6" s="35">
        <f>SUM(SrAd!C66:C67)</f>
        <v>0.1346557677475094</v>
      </c>
      <c r="F6" s="35">
        <f>+SrAd!C68</f>
        <v>6.9699999999999998E-2</v>
      </c>
      <c r="G6" s="36">
        <f t="shared" ref="G6:G15" si="1">SUM(E6:F6)</f>
        <v>0.20435576774750941</v>
      </c>
      <c r="H6" s="35">
        <f>SUM(SrAd!D66:D67)</f>
        <v>0.31112402803771466</v>
      </c>
      <c r="I6" s="35">
        <f>+SrAd!D68</f>
        <v>0.11749999999999999</v>
      </c>
      <c r="J6" s="34">
        <f t="shared" ref="J6:J15" si="2">SUM(H6:I6)</f>
        <v>0.42862402803771465</v>
      </c>
    </row>
    <row r="7" spans="1:10" x14ac:dyDescent="0.2">
      <c r="A7" s="33" t="s">
        <v>54</v>
      </c>
      <c r="B7" s="35">
        <f>SUM(Res!B122:B123)</f>
        <v>8.7283203598688186E-2</v>
      </c>
      <c r="C7" s="35">
        <f>+Res!B124</f>
        <v>1.1900000000000001E-2</v>
      </c>
      <c r="D7" s="36">
        <f t="shared" si="0"/>
        <v>9.918320359868818E-2</v>
      </c>
      <c r="E7" s="35">
        <f>SUM(Res!C122:C123)</f>
        <v>0.14206147553012527</v>
      </c>
      <c r="F7" s="35">
        <f>+Res!C124</f>
        <v>2.6599999999999999E-2</v>
      </c>
      <c r="G7" s="36">
        <f t="shared" si="1"/>
        <v>0.16866147553012528</v>
      </c>
      <c r="H7" s="35">
        <f>SUM(Res!D122:D123)</f>
        <v>0.27954505079964842</v>
      </c>
      <c r="I7" s="35">
        <f>+Res!D124</f>
        <v>6.1199999999999997E-2</v>
      </c>
      <c r="J7" s="34">
        <f t="shared" si="2"/>
        <v>0.3407450507996484</v>
      </c>
    </row>
    <row r="8" spans="1:10" x14ac:dyDescent="0.2">
      <c r="A8" s="33" t="s">
        <v>88</v>
      </c>
      <c r="B8" s="35">
        <f>SUM(DM!B92:B93)</f>
        <v>0.12316554805130604</v>
      </c>
      <c r="C8" s="35">
        <f>+DM!B94</f>
        <v>3.1699999999999999E-2</v>
      </c>
      <c r="D8" s="36">
        <f t="shared" si="0"/>
        <v>0.15486554805130603</v>
      </c>
      <c r="E8" s="35">
        <f>SUM(DM!C92:C93)</f>
        <v>0.1568434359819168</v>
      </c>
      <c r="F8" s="35">
        <f>+DM!C94</f>
        <v>4.07E-2</v>
      </c>
      <c r="G8" s="36">
        <f t="shared" si="1"/>
        <v>0.19754343598191682</v>
      </c>
      <c r="H8" s="35">
        <f>SUM(DM!D92:D93)</f>
        <v>0.29873385100015309</v>
      </c>
      <c r="I8" s="35">
        <f>+DM!D94</f>
        <v>0.1236</v>
      </c>
      <c r="J8" s="34">
        <f t="shared" si="2"/>
        <v>0.42233385100015308</v>
      </c>
    </row>
    <row r="9" spans="1:10" x14ac:dyDescent="0.2">
      <c r="A9" s="33" t="s">
        <v>68</v>
      </c>
      <c r="B9" s="35">
        <f>SUM(AP!B145:B146)</f>
        <v>0.1442817866727196</v>
      </c>
      <c r="C9" s="35">
        <f>+AP!B147</f>
        <v>3.8399999999999997E-2</v>
      </c>
      <c r="D9" s="36">
        <f t="shared" si="0"/>
        <v>0.18268178667271959</v>
      </c>
      <c r="E9" s="35">
        <f>SUM(AP!C145:C146)</f>
        <v>0.17691481857613173</v>
      </c>
      <c r="F9" s="35">
        <f>+AP!C147</f>
        <v>5.0900000000000001E-2</v>
      </c>
      <c r="G9" s="36">
        <f t="shared" si="1"/>
        <v>0.22781481857613173</v>
      </c>
      <c r="H9" s="35">
        <f>SUM(AP!D145:D146)</f>
        <v>0.4182242551716332</v>
      </c>
      <c r="I9" s="35">
        <f>+AP!D147</f>
        <v>0.1699</v>
      </c>
      <c r="J9" s="34">
        <f t="shared" si="2"/>
        <v>0.58812425517163325</v>
      </c>
    </row>
    <row r="10" spans="1:10" x14ac:dyDescent="0.2">
      <c r="A10" s="33" t="s">
        <v>69</v>
      </c>
      <c r="B10" s="35">
        <f>SUM(EP!B105:B106)</f>
        <v>0.16853142870684829</v>
      </c>
      <c r="C10" s="35">
        <f>+EP!B107</f>
        <v>4.1700000000000001E-2</v>
      </c>
      <c r="D10" s="36">
        <f t="shared" si="0"/>
        <v>0.2102314287068483</v>
      </c>
      <c r="E10" s="35">
        <f>SUM(EP!C105:C106)</f>
        <v>0.19788178482168739</v>
      </c>
      <c r="F10" s="35">
        <f>+EP!C107</f>
        <v>5.33E-2</v>
      </c>
      <c r="G10" s="36">
        <f t="shared" si="1"/>
        <v>0.2511817848216874</v>
      </c>
      <c r="H10" s="35">
        <f>SUM(EP!D105:D106)</f>
        <v>0.63278812306424648</v>
      </c>
      <c r="I10" s="35">
        <f>+EP!D107</f>
        <v>0.15959999999999999</v>
      </c>
      <c r="J10" s="34">
        <f t="shared" si="2"/>
        <v>0.79238812306424644</v>
      </c>
    </row>
    <row r="11" spans="1:10" x14ac:dyDescent="0.2">
      <c r="A11" s="33" t="s">
        <v>97</v>
      </c>
      <c r="B11" s="35">
        <f>SUM(TC!B77:B78)</f>
        <v>9.8119234631836347E-2</v>
      </c>
      <c r="C11" s="35">
        <f>+TC!B79</f>
        <v>2.1499999999999998E-2</v>
      </c>
      <c r="D11" s="36">
        <f t="shared" si="0"/>
        <v>0.11961923463183635</v>
      </c>
      <c r="E11" s="35">
        <f>SUM(TC!C77:C78)</f>
        <v>0.1513287004351726</v>
      </c>
      <c r="F11" s="35">
        <f>+TC!C79</f>
        <v>3.3000000000000002E-2</v>
      </c>
      <c r="G11" s="36">
        <f t="shared" si="1"/>
        <v>0.1843287004351726</v>
      </c>
      <c r="H11" s="35">
        <f>SUM(TC!D77:D78)</f>
        <v>0.2350864148742608</v>
      </c>
      <c r="I11" s="35">
        <f>+TC!D79</f>
        <v>9.3200000000000005E-2</v>
      </c>
      <c r="J11" s="34">
        <f t="shared" si="2"/>
        <v>0.3282864148742608</v>
      </c>
    </row>
    <row r="12" spans="1:10" x14ac:dyDescent="0.2">
      <c r="A12" s="33" t="s">
        <v>89</v>
      </c>
      <c r="B12" s="35">
        <f>SUM(AC!B64:B65)</f>
        <v>0.14215667143262645</v>
      </c>
      <c r="C12" s="35">
        <f>+AC!B66</f>
        <v>5.33E-2</v>
      </c>
      <c r="D12" s="36">
        <f t="shared" si="0"/>
        <v>0.19545667143262646</v>
      </c>
      <c r="E12" s="35">
        <f>SUM(AC!C64:C65)</f>
        <v>0.17764494878514128</v>
      </c>
      <c r="F12" s="35">
        <f>+AC!C66</f>
        <v>6.6699999999999995E-2</v>
      </c>
      <c r="G12" s="36">
        <f t="shared" si="1"/>
        <v>0.24434494878514129</v>
      </c>
      <c r="H12" s="35">
        <f>SUM(AC!D64:D65)</f>
        <v>0.64377868549078077</v>
      </c>
      <c r="I12" s="35">
        <f>+AC!D66</f>
        <v>0.14219999999999999</v>
      </c>
      <c r="J12" s="34">
        <f t="shared" si="2"/>
        <v>0.78597868549078076</v>
      </c>
    </row>
    <row r="13" spans="1:10" x14ac:dyDescent="0.2">
      <c r="A13" s="33" t="s">
        <v>90</v>
      </c>
      <c r="B13" s="35">
        <f>SUM(EC!B63:B64)</f>
        <v>0.12162474001039991</v>
      </c>
      <c r="C13" s="35">
        <f>+EC!B65</f>
        <v>0.1333</v>
      </c>
      <c r="D13" s="36">
        <f t="shared" si="0"/>
        <v>0.25492474001039989</v>
      </c>
      <c r="E13" s="35">
        <f>SUM(EC!C63:C64)</f>
        <v>0.15285763476553355</v>
      </c>
      <c r="F13" s="35">
        <f>+EC!C65</f>
        <v>0.16669999999999999</v>
      </c>
      <c r="G13" s="36">
        <f t="shared" si="1"/>
        <v>0.31955763476553356</v>
      </c>
      <c r="H13" s="35">
        <f>SUM(EC!D63:D64)</f>
        <v>0.40643506411598024</v>
      </c>
      <c r="I13" s="35">
        <f>SUM(EC!D65)</f>
        <v>0.35560000000000003</v>
      </c>
      <c r="J13" s="34">
        <f t="shared" si="2"/>
        <v>0.76203506411598032</v>
      </c>
    </row>
    <row r="14" spans="1:10" x14ac:dyDescent="0.2">
      <c r="A14" s="33" t="s">
        <v>86</v>
      </c>
      <c r="B14" s="35">
        <f>SUM(Cus!B22:B23)</f>
        <v>0.37013996889580092</v>
      </c>
      <c r="C14" s="35">
        <f>+Cus!B24</f>
        <v>0</v>
      </c>
      <c r="D14" s="36">
        <f t="shared" si="0"/>
        <v>0.37013996889580092</v>
      </c>
      <c r="E14" s="35">
        <f>SUM(Cus!C22:C23)</f>
        <v>0.44323483670295488</v>
      </c>
      <c r="F14" s="35">
        <f>+Cus!C24</f>
        <v>0</v>
      </c>
      <c r="G14" s="36">
        <f t="shared" si="1"/>
        <v>0.44323483670295488</v>
      </c>
      <c r="H14" s="35">
        <f>SUM(Cus!D22:D23)</f>
        <v>0.39035769828926903</v>
      </c>
      <c r="I14" s="35">
        <f>+Cus!D24</f>
        <v>0</v>
      </c>
      <c r="J14" s="34">
        <f t="shared" si="2"/>
        <v>0.39035769828926903</v>
      </c>
    </row>
    <row r="15" spans="1:10" x14ac:dyDescent="0.2">
      <c r="A15" s="33" t="s">
        <v>49</v>
      </c>
      <c r="B15" s="35">
        <f>SUM(SvMn!B69:B70)</f>
        <v>0.12433374929970006</v>
      </c>
      <c r="C15" s="35">
        <f>+SvMn!B71</f>
        <v>0.04</v>
      </c>
      <c r="D15" s="36">
        <f t="shared" si="0"/>
        <v>0.16433374929970007</v>
      </c>
      <c r="E15" s="35">
        <f>SUM(SvMn!C69:C70)</f>
        <v>0.23575208000037753</v>
      </c>
      <c r="F15" s="35">
        <f>+SvMn!C71</f>
        <v>0.04</v>
      </c>
      <c r="G15" s="36">
        <f t="shared" si="1"/>
        <v>0.27575208000037754</v>
      </c>
      <c r="H15" s="35">
        <f>SUM(SvMn!D69:D70)</f>
        <v>3.6015102882572765E-2</v>
      </c>
      <c r="I15" s="35">
        <f>SUM(SvMn!D71)</f>
        <v>1.6E-2</v>
      </c>
      <c r="J15" s="34">
        <f t="shared" si="2"/>
        <v>5.2015102882572765E-2</v>
      </c>
    </row>
    <row r="18" spans="1:1" x14ac:dyDescent="0.2">
      <c r="A18" s="33" t="s">
        <v>300</v>
      </c>
    </row>
    <row r="19" spans="1:1" x14ac:dyDescent="0.2">
      <c r="A19" s="33" t="s">
        <v>106</v>
      </c>
    </row>
  </sheetData>
  <printOptions horizontalCentered="1" gridLines="1"/>
  <pageMargins left="0.5" right="0.5" top="1" bottom="1" header="0.5" footer="0.5"/>
  <pageSetup orientation="landscape" r:id="rId1"/>
  <headerFooter alignWithMargins="0">
    <oddHeader>&amp;REXHIBIT 5</oddHeader>
    <oddFooter>&amp;RUpdated: 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7" zoomScaleNormal="100" workbookViewId="0">
      <selection activeCell="D17" sqref="D17"/>
    </sheetView>
  </sheetViews>
  <sheetFormatPr defaultColWidth="9.33203125" defaultRowHeight="15" customHeight="1" x14ac:dyDescent="0.2"/>
  <cols>
    <col min="1" max="1" width="41.6640625" style="1" customWidth="1"/>
    <col min="2" max="3" width="9.33203125" style="1"/>
    <col min="4" max="4" width="8.5" style="1" customWidth="1"/>
    <col min="5" max="5" width="9.33203125" style="1"/>
    <col min="6" max="6" width="7.83203125" style="1" customWidth="1"/>
    <col min="7" max="7" width="9.33203125" style="1"/>
    <col min="8" max="8" width="9" style="1" bestFit="1" customWidth="1"/>
    <col min="9" max="9" width="9.33203125" style="1"/>
    <col min="10" max="10" width="6.83203125" style="1" customWidth="1"/>
    <col min="11" max="11" width="7.33203125" style="1" customWidth="1"/>
    <col min="12" max="12" width="6.33203125" style="1" customWidth="1"/>
    <col min="13" max="16384" width="9.33203125" style="1"/>
  </cols>
  <sheetData>
    <row r="1" spans="1:13" ht="15" customHeight="1" x14ac:dyDescent="0.2">
      <c r="A1" s="47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19</v>
      </c>
      <c r="G5" s="46"/>
      <c r="H5" s="46"/>
      <c r="I5" s="46"/>
      <c r="J5" s="46" t="s">
        <v>23</v>
      </c>
      <c r="K5" s="46"/>
      <c r="L5" s="46"/>
      <c r="M5" s="46"/>
    </row>
    <row r="6" spans="1:13" ht="15" customHeight="1" x14ac:dyDescent="0.2">
      <c r="A6" s="2" t="s">
        <v>1</v>
      </c>
      <c r="B6" s="2" t="s">
        <v>8</v>
      </c>
      <c r="C6" s="2" t="s">
        <v>3</v>
      </c>
      <c r="D6" s="2" t="s">
        <v>55</v>
      </c>
      <c r="E6" s="2" t="s">
        <v>4</v>
      </c>
      <c r="F6" s="2" t="s">
        <v>8</v>
      </c>
      <c r="G6" s="2" t="s">
        <v>3</v>
      </c>
      <c r="H6" s="2" t="s">
        <v>55</v>
      </c>
      <c r="I6" s="2" t="s">
        <v>4</v>
      </c>
      <c r="J6" s="2" t="s">
        <v>8</v>
      </c>
      <c r="K6" s="2" t="s">
        <v>3</v>
      </c>
      <c r="L6" s="2" t="s">
        <v>55</v>
      </c>
      <c r="M6" s="2" t="s">
        <v>4</v>
      </c>
    </row>
    <row r="7" spans="1:13" ht="15" customHeight="1" x14ac:dyDescent="0.2">
      <c r="A7" s="5" t="s">
        <v>124</v>
      </c>
      <c r="B7" s="6">
        <f>SUM(B8:B15)</f>
        <v>52</v>
      </c>
      <c r="C7" s="6">
        <f>SUM(C8:C15)</f>
        <v>40</v>
      </c>
      <c r="D7" s="6">
        <f>SUM(D8:D15)</f>
        <v>43</v>
      </c>
      <c r="E7" s="6">
        <f>SUM(E8:E15)</f>
        <v>31</v>
      </c>
      <c r="F7" s="6">
        <v>3215</v>
      </c>
      <c r="G7" s="6">
        <v>1190</v>
      </c>
      <c r="H7" s="6">
        <v>1425</v>
      </c>
      <c r="I7" s="6">
        <v>1255</v>
      </c>
      <c r="J7" s="6">
        <v>2710</v>
      </c>
      <c r="K7" s="6">
        <v>1130</v>
      </c>
      <c r="L7" s="6">
        <v>1295</v>
      </c>
      <c r="M7" s="6">
        <v>1070</v>
      </c>
    </row>
    <row r="8" spans="1:13" ht="15" customHeight="1" x14ac:dyDescent="0.2">
      <c r="A8" s="24" t="s">
        <v>196</v>
      </c>
      <c r="B8" s="6">
        <v>5</v>
      </c>
      <c r="C8" s="6">
        <v>5</v>
      </c>
      <c r="D8" s="6">
        <v>5</v>
      </c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24" t="s">
        <v>352</v>
      </c>
      <c r="B9" s="6">
        <v>1</v>
      </c>
      <c r="C9" s="6">
        <v>1</v>
      </c>
      <c r="D9" s="6">
        <v>1</v>
      </c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24" t="s">
        <v>484</v>
      </c>
      <c r="B10" s="6">
        <v>1</v>
      </c>
      <c r="C10" s="6">
        <v>1</v>
      </c>
      <c r="D10" s="6">
        <v>1</v>
      </c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24" t="s">
        <v>180</v>
      </c>
      <c r="B11" s="6">
        <v>2</v>
      </c>
      <c r="C11" s="6">
        <v>1</v>
      </c>
      <c r="D11" s="6">
        <v>1</v>
      </c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24" t="s">
        <v>226</v>
      </c>
      <c r="B12" s="6">
        <v>40</v>
      </c>
      <c r="C12" s="6">
        <v>32</v>
      </c>
      <c r="D12" s="6">
        <v>35</v>
      </c>
      <c r="E12" s="6">
        <v>27</v>
      </c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24" t="s">
        <v>195</v>
      </c>
      <c r="B13" s="6">
        <v>1</v>
      </c>
      <c r="C13" s="6"/>
      <c r="D13" s="6"/>
      <c r="E13" s="6">
        <v>1</v>
      </c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">
      <c r="A14" s="24" t="s">
        <v>44</v>
      </c>
      <c r="B14" s="6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24" t="s">
        <v>45</v>
      </c>
      <c r="B15" s="6">
        <v>1</v>
      </c>
      <c r="C15" s="6"/>
      <c r="D15" s="6"/>
      <c r="E15" s="6">
        <v>1</v>
      </c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2">
      <c r="A16" s="8" t="s">
        <v>13</v>
      </c>
      <c r="B16" s="9"/>
      <c r="C16" s="10">
        <f>+C7/B7</f>
        <v>0.76923076923076927</v>
      </c>
      <c r="D16" s="10">
        <f>+D7/B7</f>
        <v>0.82692307692307687</v>
      </c>
      <c r="E16" s="10">
        <f>+E7/B7</f>
        <v>0.59615384615384615</v>
      </c>
      <c r="F16" s="9"/>
      <c r="G16" s="10">
        <f>(G7/F7)</f>
        <v>0.37013996889580092</v>
      </c>
      <c r="H16" s="10">
        <f>(H7/F7)</f>
        <v>0.44323483670295488</v>
      </c>
      <c r="I16" s="10">
        <f>+(I7/F7)</f>
        <v>0.39035769828926903</v>
      </c>
      <c r="J16" s="9"/>
      <c r="K16" s="10"/>
      <c r="L16" s="10"/>
      <c r="M16" s="10"/>
    </row>
    <row r="17" spans="1:13" ht="15" customHeight="1" x14ac:dyDescent="0.2">
      <c r="A17" s="2" t="s">
        <v>12</v>
      </c>
      <c r="B17" s="6">
        <f>+B7</f>
        <v>52</v>
      </c>
      <c r="C17" s="6">
        <f t="shared" ref="C17:I17" si="0">+C7</f>
        <v>40</v>
      </c>
      <c r="D17" s="6">
        <f t="shared" si="0"/>
        <v>43</v>
      </c>
      <c r="E17" s="6">
        <f t="shared" si="0"/>
        <v>31</v>
      </c>
      <c r="F17" s="6">
        <f t="shared" si="0"/>
        <v>3215</v>
      </c>
      <c r="G17" s="6">
        <f t="shared" si="0"/>
        <v>1190</v>
      </c>
      <c r="H17" s="6">
        <f t="shared" si="0"/>
        <v>1425</v>
      </c>
      <c r="I17" s="6">
        <f t="shared" si="0"/>
        <v>1255</v>
      </c>
      <c r="J17" s="6">
        <f>+J7</f>
        <v>2710</v>
      </c>
      <c r="K17" s="6">
        <f>+K7</f>
        <v>1130</v>
      </c>
      <c r="L17" s="6"/>
      <c r="M17" s="6">
        <f>+M7</f>
        <v>1070</v>
      </c>
    </row>
    <row r="18" spans="1:13" ht="15" customHeight="1" x14ac:dyDescent="0.2">
      <c r="A18" s="8" t="s">
        <v>13</v>
      </c>
      <c r="B18" s="14"/>
      <c r="C18" s="14">
        <f>+C17/B17</f>
        <v>0.76923076923076927</v>
      </c>
      <c r="D18" s="14">
        <f>+D17/B17</f>
        <v>0.82692307692307687</v>
      </c>
      <c r="E18" s="14">
        <f>+E17/B17</f>
        <v>0.59615384615384615</v>
      </c>
      <c r="F18" s="14"/>
      <c r="G18" s="14">
        <f>+(G17/F17)</f>
        <v>0.37013996889580092</v>
      </c>
      <c r="H18" s="14">
        <f>+(H17/F17)</f>
        <v>0.44323483670295488</v>
      </c>
      <c r="I18" s="14">
        <f>+(I17/F17)</f>
        <v>0.39035769828926903</v>
      </c>
      <c r="J18" s="14"/>
      <c r="K18" s="14"/>
      <c r="L18" s="14"/>
      <c r="M18" s="14"/>
    </row>
    <row r="20" spans="1:13" ht="15" customHeight="1" x14ac:dyDescent="0.2">
      <c r="A20" s="2" t="s">
        <v>14</v>
      </c>
      <c r="B20" s="2" t="s">
        <v>3</v>
      </c>
      <c r="C20" s="2" t="s">
        <v>55</v>
      </c>
      <c r="D20" s="2" t="s">
        <v>4</v>
      </c>
    </row>
    <row r="22" spans="1:13" ht="15" customHeight="1" x14ac:dyDescent="0.2">
      <c r="A22" s="1" t="s">
        <v>52</v>
      </c>
      <c r="B22" s="16">
        <v>0</v>
      </c>
      <c r="C22" s="16">
        <v>0</v>
      </c>
      <c r="D22" s="16">
        <v>0</v>
      </c>
    </row>
    <row r="23" spans="1:13" ht="15" customHeight="1" x14ac:dyDescent="0.2">
      <c r="A23" s="1" t="s">
        <v>53</v>
      </c>
      <c r="B23" s="16">
        <f>+G18</f>
        <v>0.37013996889580092</v>
      </c>
      <c r="C23" s="16">
        <f>+H18</f>
        <v>0.44323483670295488</v>
      </c>
      <c r="D23" s="16">
        <f>+I18</f>
        <v>0.39035769828926903</v>
      </c>
    </row>
    <row r="24" spans="1:13" ht="15" customHeight="1" x14ac:dyDescent="0.2">
      <c r="A24" s="1" t="s">
        <v>42</v>
      </c>
      <c r="B24" s="16">
        <v>0</v>
      </c>
      <c r="C24" s="16">
        <v>0</v>
      </c>
      <c r="D24" s="16">
        <v>0</v>
      </c>
    </row>
    <row r="25" spans="1:13" ht="15" customHeight="1" x14ac:dyDescent="0.2">
      <c r="A25" s="17" t="s">
        <v>12</v>
      </c>
      <c r="B25" s="14">
        <f>SUM(B22:B24)</f>
        <v>0.37013996889580092</v>
      </c>
      <c r="C25" s="14">
        <f>SUM(C22:C24)</f>
        <v>0.44323483670295488</v>
      </c>
      <c r="D25" s="14">
        <f>SUM(D22:D24)</f>
        <v>0.39035769828926903</v>
      </c>
    </row>
  </sheetData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3"/>
  <pageSetup orientation="landscape" r:id="rId1"/>
  <headerFooter alignWithMargins="0">
    <oddHeader>&amp;C&amp;"Times New Roman,Bold"AVAILABILITY ANALYSIS - 08/31/2018
&amp;REXHIBIT 5</oddHeader>
    <oddFooter>&amp;RUpdated: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34" zoomScaleNormal="100" workbookViewId="0">
      <selection activeCell="D72" sqref="D72"/>
    </sheetView>
  </sheetViews>
  <sheetFormatPr defaultColWidth="9.33203125" defaultRowHeight="15" customHeight="1" x14ac:dyDescent="0.2"/>
  <cols>
    <col min="1" max="1" width="41.6640625" style="1" customWidth="1"/>
    <col min="2" max="2" width="8.5" style="1" customWidth="1"/>
    <col min="3" max="3" width="9.33203125" style="1"/>
    <col min="4" max="5" width="11" style="1" bestFit="1" customWidth="1"/>
    <col min="6" max="6" width="7.5" style="1" customWidth="1"/>
    <col min="7" max="7" width="9.33203125" style="1"/>
    <col min="8" max="8" width="8.6640625" style="1" customWidth="1"/>
    <col min="9" max="9" width="9.33203125" style="1"/>
    <col min="10" max="10" width="7.33203125" style="1" customWidth="1"/>
    <col min="11" max="11" width="8.1640625" style="1" customWidth="1"/>
    <col min="12" max="12" width="8.83203125" style="1" customWidth="1"/>
    <col min="13" max="16384" width="9.33203125" style="1"/>
  </cols>
  <sheetData>
    <row r="1" spans="1:16" ht="15" customHeight="1" x14ac:dyDescent="0.2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6" ht="15" customHeight="1" x14ac:dyDescent="0.2">
      <c r="A2" s="46" t="s">
        <v>92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6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6" ht="15" customHeight="1" x14ac:dyDescent="0.2">
      <c r="B5" s="46" t="s">
        <v>9</v>
      </c>
      <c r="C5" s="46"/>
      <c r="D5" s="46"/>
      <c r="E5" s="46"/>
      <c r="F5" s="46" t="s">
        <v>23</v>
      </c>
      <c r="G5" s="46"/>
      <c r="H5" s="46"/>
      <c r="I5" s="46"/>
      <c r="J5" s="46" t="s">
        <v>19</v>
      </c>
      <c r="K5" s="46"/>
      <c r="L5" s="46"/>
      <c r="M5" s="46"/>
    </row>
    <row r="6" spans="1:16" ht="15" customHeight="1" x14ac:dyDescent="0.2">
      <c r="A6" s="2" t="s">
        <v>1</v>
      </c>
      <c r="B6" s="2" t="s">
        <v>8</v>
      </c>
      <c r="C6" s="2" t="s">
        <v>3</v>
      </c>
      <c r="D6" s="2" t="s">
        <v>55</v>
      </c>
      <c r="E6" s="2" t="s">
        <v>4</v>
      </c>
      <c r="F6" s="2" t="s">
        <v>8</v>
      </c>
      <c r="G6" s="2" t="s">
        <v>3</v>
      </c>
      <c r="H6" s="2" t="s">
        <v>55</v>
      </c>
      <c r="I6" s="2" t="s">
        <v>4</v>
      </c>
      <c r="J6" s="2" t="s">
        <v>8</v>
      </c>
      <c r="K6" s="2" t="s">
        <v>3</v>
      </c>
      <c r="L6" s="2" t="s">
        <v>55</v>
      </c>
      <c r="M6" s="2" t="s">
        <v>4</v>
      </c>
    </row>
    <row r="7" spans="1:16" ht="15" customHeight="1" x14ac:dyDescent="0.2">
      <c r="A7" s="12" t="s">
        <v>149</v>
      </c>
      <c r="B7" s="1">
        <f>SUM(B8:B9)</f>
        <v>2</v>
      </c>
      <c r="C7" s="1">
        <f>SUM(C8:C9)</f>
        <v>0</v>
      </c>
      <c r="D7" s="1">
        <f>SUM(D8:D9)</f>
        <v>0</v>
      </c>
      <c r="E7" s="1">
        <f>SUM(E8:E9)</f>
        <v>0</v>
      </c>
      <c r="F7" s="1">
        <v>940</v>
      </c>
      <c r="G7" s="1">
        <v>180</v>
      </c>
      <c r="H7" s="1">
        <v>200</v>
      </c>
      <c r="I7" s="1">
        <v>15</v>
      </c>
      <c r="J7" s="1">
        <v>1165</v>
      </c>
      <c r="K7" s="1">
        <v>210</v>
      </c>
      <c r="L7" s="1">
        <v>255</v>
      </c>
      <c r="M7" s="1">
        <v>15</v>
      </c>
    </row>
    <row r="8" spans="1:16" ht="15" customHeight="1" x14ac:dyDescent="0.2">
      <c r="A8" s="7" t="s">
        <v>150</v>
      </c>
      <c r="B8" s="1">
        <v>1</v>
      </c>
    </row>
    <row r="9" spans="1:16" ht="15" customHeight="1" x14ac:dyDescent="0.2">
      <c r="A9" s="7" t="s">
        <v>151</v>
      </c>
      <c r="B9" s="6">
        <v>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P9" s="13"/>
    </row>
    <row r="10" spans="1:16" ht="15" customHeight="1" x14ac:dyDescent="0.2">
      <c r="A10" s="8" t="s">
        <v>13</v>
      </c>
      <c r="B10" s="14"/>
      <c r="C10" s="14">
        <f>+C7/B7</f>
        <v>0</v>
      </c>
      <c r="D10" s="14">
        <f>+D7/B7</f>
        <v>0</v>
      </c>
      <c r="E10" s="14">
        <f>+E7/B7</f>
        <v>0</v>
      </c>
      <c r="F10" s="14"/>
      <c r="G10" s="14">
        <f>+(G7/F7)*0.5</f>
        <v>9.5744680851063829E-2</v>
      </c>
      <c r="H10" s="14">
        <f>+(H7/F7)*0.5</f>
        <v>0.10638297872340426</v>
      </c>
      <c r="I10" s="14">
        <f>+(I7/F7)*0.5</f>
        <v>7.9787234042553185E-3</v>
      </c>
      <c r="J10" s="14"/>
      <c r="K10" s="14">
        <f>+(K7/J7)*0.3</f>
        <v>5.4077253218884118E-2</v>
      </c>
      <c r="L10" s="14">
        <f>+(L7/J7)*0.3</f>
        <v>6.5665236051502152E-2</v>
      </c>
      <c r="M10" s="14">
        <f>+(M7/J7)*0.3</f>
        <v>3.8626609442060085E-3</v>
      </c>
      <c r="P10" s="7"/>
    </row>
    <row r="11" spans="1:16" ht="15" customHeight="1" x14ac:dyDescent="0.2">
      <c r="A11" s="5" t="s">
        <v>36</v>
      </c>
      <c r="B11" s="6">
        <f>SUM(B12)</f>
        <v>2</v>
      </c>
      <c r="C11" s="6">
        <f>SUM(C12)</f>
        <v>0</v>
      </c>
      <c r="D11" s="6">
        <f>SUM(D12)</f>
        <v>0</v>
      </c>
      <c r="E11" s="6">
        <f>SUM(E12)</f>
        <v>0</v>
      </c>
      <c r="F11" s="6">
        <v>1345</v>
      </c>
      <c r="G11" s="6">
        <v>125</v>
      </c>
      <c r="H11" s="6">
        <v>374</v>
      </c>
      <c r="I11" s="6">
        <v>35</v>
      </c>
      <c r="J11" s="6">
        <v>1685</v>
      </c>
      <c r="K11" s="6">
        <v>165</v>
      </c>
      <c r="L11" s="6">
        <v>484</v>
      </c>
      <c r="M11" s="6">
        <v>65</v>
      </c>
      <c r="P11" s="7"/>
    </row>
    <row r="12" spans="1:16" ht="15" customHeight="1" x14ac:dyDescent="0.2">
      <c r="A12" s="7" t="s">
        <v>105</v>
      </c>
      <c r="B12" s="6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P12" s="7"/>
    </row>
    <row r="13" spans="1:16" ht="15" customHeight="1" x14ac:dyDescent="0.2">
      <c r="A13" s="8" t="s">
        <v>13</v>
      </c>
      <c r="B13" s="9"/>
      <c r="C13" s="10">
        <f>+C11/B11</f>
        <v>0</v>
      </c>
      <c r="D13" s="10">
        <f>+D11/B11</f>
        <v>0</v>
      </c>
      <c r="E13" s="10">
        <f>+E11/B11</f>
        <v>0</v>
      </c>
      <c r="F13" s="9"/>
      <c r="G13" s="10">
        <f>(G11/F11)*0.5</f>
        <v>4.6468401486988845E-2</v>
      </c>
      <c r="H13" s="10">
        <f>(H11/F11)*0.5</f>
        <v>0.13903345724907062</v>
      </c>
      <c r="I13" s="10">
        <f>+(I11/F11)*0.5</f>
        <v>1.3011152416356878E-2</v>
      </c>
      <c r="J13" s="9"/>
      <c r="K13" s="10">
        <f>+(K11/J11)*0.3</f>
        <v>2.9376854599406525E-2</v>
      </c>
      <c r="L13" s="10">
        <f>+(L11/J11)*0.3</f>
        <v>8.617210682492582E-2</v>
      </c>
      <c r="M13" s="10">
        <f>+(M11/J11)*0.3</f>
        <v>1.1572700296735905E-2</v>
      </c>
      <c r="P13" s="7"/>
    </row>
    <row r="14" spans="1:16" ht="15" customHeight="1" x14ac:dyDescent="0.2">
      <c r="A14" s="5" t="s">
        <v>47</v>
      </c>
      <c r="B14" s="6">
        <f>SUM(B15)</f>
        <v>5</v>
      </c>
      <c r="C14" s="6">
        <f>SUM(C15)</f>
        <v>1</v>
      </c>
      <c r="D14" s="6">
        <f>SUM(D15)</f>
        <v>1</v>
      </c>
      <c r="E14" s="6">
        <f>SUM(E15)</f>
        <v>3</v>
      </c>
      <c r="F14" s="6">
        <v>250</v>
      </c>
      <c r="G14" s="6">
        <v>70</v>
      </c>
      <c r="H14" s="6">
        <v>100</v>
      </c>
      <c r="I14" s="6">
        <v>140</v>
      </c>
      <c r="J14" s="6">
        <v>320</v>
      </c>
      <c r="K14" s="6">
        <v>85</v>
      </c>
      <c r="L14" s="6">
        <v>115</v>
      </c>
      <c r="M14" s="6">
        <v>175</v>
      </c>
      <c r="P14" s="7"/>
    </row>
    <row r="15" spans="1:16" ht="15" customHeight="1" x14ac:dyDescent="0.2">
      <c r="A15" s="7" t="s">
        <v>48</v>
      </c>
      <c r="B15" s="6">
        <v>5</v>
      </c>
      <c r="C15" s="6">
        <v>1</v>
      </c>
      <c r="D15" s="6">
        <v>1</v>
      </c>
      <c r="E15" s="6">
        <v>3</v>
      </c>
      <c r="F15" s="6"/>
      <c r="G15" s="6"/>
      <c r="H15" s="6"/>
      <c r="I15" s="6"/>
      <c r="J15" s="6"/>
      <c r="K15" s="6"/>
      <c r="L15" s="6"/>
      <c r="M15" s="6"/>
      <c r="P15" s="7"/>
    </row>
    <row r="16" spans="1:16" ht="15" customHeight="1" x14ac:dyDescent="0.2">
      <c r="A16" s="8" t="s">
        <v>13</v>
      </c>
      <c r="B16" s="9"/>
      <c r="C16" s="10">
        <f>+C14/B14</f>
        <v>0.2</v>
      </c>
      <c r="D16" s="10">
        <f>+D14/B14</f>
        <v>0.2</v>
      </c>
      <c r="E16" s="10">
        <f>+E14/B14</f>
        <v>0.6</v>
      </c>
      <c r="F16" s="9"/>
      <c r="G16" s="10">
        <f>(G14/F14)*0.5</f>
        <v>0.14000000000000001</v>
      </c>
      <c r="H16" s="10">
        <f>(H14/F14)*0.5</f>
        <v>0.2</v>
      </c>
      <c r="I16" s="10">
        <f>+(I14/F14)*0.5</f>
        <v>0.28000000000000003</v>
      </c>
      <c r="J16" s="9"/>
      <c r="K16" s="10">
        <f>+(K14/J14)*0.3</f>
        <v>7.9687499999999994E-2</v>
      </c>
      <c r="L16" s="10">
        <f>+(L14/J14)*0.3</f>
        <v>0.10781249999999999</v>
      </c>
      <c r="M16" s="10">
        <f>+(M14/J14)*0.3</f>
        <v>0.1640625</v>
      </c>
      <c r="P16" s="7"/>
    </row>
    <row r="17" spans="1:16" ht="15" customHeight="1" x14ac:dyDescent="0.2">
      <c r="A17" s="12" t="s">
        <v>37</v>
      </c>
      <c r="B17" s="1">
        <f>SUM(B18:B20)</f>
        <v>8</v>
      </c>
      <c r="C17" s="1">
        <f>SUM(C18:C20)</f>
        <v>1</v>
      </c>
      <c r="D17" s="1">
        <f>SUM(D18:D20)</f>
        <v>1</v>
      </c>
      <c r="E17" s="1">
        <f>SUM(E18:E20)</f>
        <v>0</v>
      </c>
      <c r="F17" s="1">
        <v>565</v>
      </c>
      <c r="G17" s="1">
        <v>35</v>
      </c>
      <c r="H17" s="1">
        <v>64</v>
      </c>
      <c r="I17" s="1">
        <v>0</v>
      </c>
      <c r="J17" s="1">
        <v>810</v>
      </c>
      <c r="K17" s="1">
        <v>90</v>
      </c>
      <c r="L17" s="1">
        <v>119</v>
      </c>
      <c r="M17" s="1">
        <v>0</v>
      </c>
      <c r="P17" s="7"/>
    </row>
    <row r="18" spans="1:16" ht="15" customHeight="1" x14ac:dyDescent="0.2">
      <c r="A18" s="7" t="s">
        <v>349</v>
      </c>
      <c r="B18" s="1">
        <v>5</v>
      </c>
      <c r="P18" s="7"/>
    </row>
    <row r="19" spans="1:16" ht="15" customHeight="1" x14ac:dyDescent="0.2">
      <c r="A19" s="7" t="s">
        <v>38</v>
      </c>
      <c r="B19" s="6">
        <v>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P19" s="7"/>
    </row>
    <row r="20" spans="1:16" ht="15" customHeight="1" x14ac:dyDescent="0.2">
      <c r="A20" s="7" t="s">
        <v>323</v>
      </c>
      <c r="B20" s="6">
        <v>2</v>
      </c>
      <c r="C20" s="6">
        <v>1</v>
      </c>
      <c r="D20" s="6">
        <v>1</v>
      </c>
      <c r="E20" s="6"/>
      <c r="F20" s="6"/>
      <c r="G20" s="6"/>
      <c r="H20" s="6"/>
      <c r="I20" s="6"/>
      <c r="J20" s="6"/>
      <c r="K20" s="6"/>
      <c r="L20" s="6"/>
      <c r="M20" s="6"/>
      <c r="P20" s="7"/>
    </row>
    <row r="21" spans="1:16" ht="15" customHeight="1" x14ac:dyDescent="0.2">
      <c r="A21" s="8" t="s">
        <v>13</v>
      </c>
      <c r="B21" s="14"/>
      <c r="C21" s="14">
        <f>+C17/B17</f>
        <v>0.125</v>
      </c>
      <c r="D21" s="14">
        <f>+D17/B17</f>
        <v>0.125</v>
      </c>
      <c r="E21" s="14">
        <f>+E17/B17</f>
        <v>0</v>
      </c>
      <c r="F21" s="14"/>
      <c r="G21" s="14">
        <f>+(G17/F17)*0.5</f>
        <v>3.0973451327433628E-2</v>
      </c>
      <c r="H21" s="14">
        <f>+(H17/F17)*0.5</f>
        <v>5.663716814159292E-2</v>
      </c>
      <c r="I21" s="14">
        <f>+(I17/F17)*0.5</f>
        <v>0</v>
      </c>
      <c r="J21" s="14"/>
      <c r="K21" s="14">
        <f>+(K17/J17)*0.3</f>
        <v>3.3333333333333333E-2</v>
      </c>
      <c r="L21" s="14">
        <f>+(L17/J17)*0.3</f>
        <v>4.4074074074074078E-2</v>
      </c>
      <c r="M21" s="14">
        <f>+(M17/J17)*0.3</f>
        <v>0</v>
      </c>
      <c r="P21" s="7"/>
    </row>
    <row r="22" spans="1:16" ht="15" customHeight="1" x14ac:dyDescent="0.2">
      <c r="A22" s="5" t="s">
        <v>152</v>
      </c>
      <c r="B22" s="6">
        <f>SUM(B23:B24)</f>
        <v>2</v>
      </c>
      <c r="C22" s="6">
        <f t="shared" ref="C22:E22" si="0">SUM(C23:C24)</f>
        <v>0</v>
      </c>
      <c r="D22" s="6">
        <f t="shared" si="0"/>
        <v>0</v>
      </c>
      <c r="E22" s="6">
        <f t="shared" si="0"/>
        <v>1</v>
      </c>
      <c r="F22" s="6">
        <v>50</v>
      </c>
      <c r="G22" s="6">
        <v>25</v>
      </c>
      <c r="H22" s="6">
        <v>25</v>
      </c>
      <c r="I22" s="6">
        <v>0</v>
      </c>
      <c r="J22" s="6">
        <v>60</v>
      </c>
      <c r="K22" s="6">
        <v>25</v>
      </c>
      <c r="L22" s="6">
        <v>25</v>
      </c>
      <c r="M22" s="6">
        <v>0</v>
      </c>
      <c r="P22" s="7"/>
    </row>
    <row r="23" spans="1:16" ht="15" customHeight="1" x14ac:dyDescent="0.2">
      <c r="A23" s="7" t="s">
        <v>254</v>
      </c>
      <c r="B23" s="6">
        <v>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P23" s="7"/>
    </row>
    <row r="24" spans="1:16" ht="15" customHeight="1" x14ac:dyDescent="0.2">
      <c r="A24" s="7" t="s">
        <v>252</v>
      </c>
      <c r="B24" s="6">
        <v>1</v>
      </c>
      <c r="C24" s="6"/>
      <c r="D24" s="6"/>
      <c r="E24" s="6">
        <v>1</v>
      </c>
      <c r="F24" s="6"/>
      <c r="G24" s="6"/>
      <c r="H24" s="6"/>
      <c r="I24" s="6"/>
      <c r="J24" s="6"/>
      <c r="K24" s="6"/>
      <c r="L24" s="6"/>
      <c r="M24" s="6"/>
      <c r="P24" s="7"/>
    </row>
    <row r="25" spans="1:16" ht="15" customHeight="1" x14ac:dyDescent="0.2">
      <c r="A25" s="8" t="s">
        <v>13</v>
      </c>
      <c r="B25" s="9"/>
      <c r="C25" s="10">
        <f>+C22/B22</f>
        <v>0</v>
      </c>
      <c r="D25" s="10">
        <f>+D22/B22</f>
        <v>0</v>
      </c>
      <c r="E25" s="10">
        <f>+E22/B22</f>
        <v>0.5</v>
      </c>
      <c r="F25" s="9"/>
      <c r="G25" s="10">
        <f>(G22/F22)*0.5</f>
        <v>0.25</v>
      </c>
      <c r="H25" s="10">
        <f>(H22/F22)*0.5</f>
        <v>0.25</v>
      </c>
      <c r="I25" s="10">
        <f>+(I22/F22)*0.5</f>
        <v>0</v>
      </c>
      <c r="J25" s="9"/>
      <c r="K25" s="10">
        <f>+(K22/J22)*0.3</f>
        <v>0.125</v>
      </c>
      <c r="L25" s="10">
        <f>+(L22/J22)*0.3</f>
        <v>0.125</v>
      </c>
      <c r="M25" s="10">
        <f>+(M22/J22)*0.3</f>
        <v>0</v>
      </c>
      <c r="P25" s="7"/>
    </row>
    <row r="26" spans="1:16" ht="15" customHeight="1" x14ac:dyDescent="0.2">
      <c r="A26" s="12" t="s">
        <v>153</v>
      </c>
      <c r="B26" s="1">
        <f>SUM(B27:B30)</f>
        <v>14</v>
      </c>
      <c r="C26" s="1">
        <f>SUM(C27:C30)</f>
        <v>8</v>
      </c>
      <c r="D26" s="1">
        <f>SUM(D27:D30)</f>
        <v>8</v>
      </c>
      <c r="E26" s="1">
        <f>SUM(E27:E30)</f>
        <v>0</v>
      </c>
      <c r="F26" s="1">
        <v>1485</v>
      </c>
      <c r="G26" s="1">
        <v>385</v>
      </c>
      <c r="H26" s="1">
        <v>903</v>
      </c>
      <c r="I26" s="1">
        <v>50</v>
      </c>
      <c r="J26" s="1">
        <v>1720</v>
      </c>
      <c r="K26" s="1">
        <v>385</v>
      </c>
      <c r="L26" s="1">
        <v>993</v>
      </c>
      <c r="M26" s="1">
        <v>70</v>
      </c>
      <c r="P26" s="7"/>
    </row>
    <row r="27" spans="1:16" ht="15" customHeight="1" x14ac:dyDescent="0.2">
      <c r="A27" s="7" t="s">
        <v>235</v>
      </c>
      <c r="B27" s="1">
        <v>8</v>
      </c>
      <c r="C27" s="1">
        <v>5</v>
      </c>
      <c r="D27" s="1">
        <v>5</v>
      </c>
      <c r="P27" s="7"/>
    </row>
    <row r="28" spans="1:16" ht="15" customHeight="1" x14ac:dyDescent="0.2">
      <c r="A28" s="7" t="s">
        <v>394</v>
      </c>
      <c r="B28" s="1">
        <v>1</v>
      </c>
      <c r="P28" s="7"/>
    </row>
    <row r="29" spans="1:16" ht="15" customHeight="1" x14ac:dyDescent="0.2">
      <c r="A29" s="7" t="s">
        <v>393</v>
      </c>
      <c r="B29" s="1">
        <v>1</v>
      </c>
      <c r="P29" s="7"/>
    </row>
    <row r="30" spans="1:16" ht="15" customHeight="1" x14ac:dyDescent="0.2">
      <c r="A30" s="7" t="s">
        <v>154</v>
      </c>
      <c r="B30" s="1">
        <v>4</v>
      </c>
      <c r="C30" s="1">
        <v>3</v>
      </c>
      <c r="D30" s="1">
        <v>3</v>
      </c>
      <c r="P30" s="7"/>
    </row>
    <row r="31" spans="1:16" ht="15" customHeight="1" x14ac:dyDescent="0.2">
      <c r="A31" s="8" t="s">
        <v>13</v>
      </c>
      <c r="B31" s="14"/>
      <c r="C31" s="14">
        <f>+C26/B26</f>
        <v>0.5714285714285714</v>
      </c>
      <c r="D31" s="14">
        <f>+D26/B26</f>
        <v>0.5714285714285714</v>
      </c>
      <c r="E31" s="14">
        <f>+E26/B26</f>
        <v>0</v>
      </c>
      <c r="F31" s="14"/>
      <c r="G31" s="14">
        <f>+(G26/F26)*0.5</f>
        <v>0.12962962962962962</v>
      </c>
      <c r="H31" s="14">
        <f>+(H26/F26)*0.5</f>
        <v>0.30404040404040406</v>
      </c>
      <c r="I31" s="14">
        <f>+(I26/F26)*0.5</f>
        <v>1.6835016835016835E-2</v>
      </c>
      <c r="J31" s="14"/>
      <c r="K31" s="14">
        <f>+(K26/J26)*0.3</f>
        <v>6.7151162790697674E-2</v>
      </c>
      <c r="L31" s="14">
        <f>+(L26/J26)*0.3</f>
        <v>0.17319767441860465</v>
      </c>
      <c r="M31" s="14">
        <f>+(M26/J26)*0.3</f>
        <v>1.2209302325581395E-2</v>
      </c>
      <c r="P31" s="7"/>
    </row>
    <row r="32" spans="1:16" ht="15" customHeight="1" x14ac:dyDescent="0.2">
      <c r="A32" s="18" t="s">
        <v>167</v>
      </c>
      <c r="B32" s="1">
        <f>SUM(B33:B36)</f>
        <v>7</v>
      </c>
      <c r="C32" s="1">
        <f>SUM(C33:C36)</f>
        <v>0</v>
      </c>
      <c r="D32" s="1">
        <f>SUM(D33:D36)</f>
        <v>0</v>
      </c>
      <c r="E32" s="1">
        <f>SUM(E33:E36)</f>
        <v>0</v>
      </c>
      <c r="F32" s="6">
        <v>545</v>
      </c>
      <c r="G32" s="6">
        <v>35</v>
      </c>
      <c r="H32" s="6">
        <v>60</v>
      </c>
      <c r="I32" s="6">
        <v>0</v>
      </c>
      <c r="J32" s="6">
        <v>625</v>
      </c>
      <c r="K32" s="6">
        <v>75</v>
      </c>
      <c r="L32" s="6">
        <v>114</v>
      </c>
      <c r="M32" s="6">
        <v>10</v>
      </c>
      <c r="P32" s="7"/>
    </row>
    <row r="33" spans="1:16" ht="15" customHeight="1" x14ac:dyDescent="0.2">
      <c r="A33" s="7" t="s">
        <v>485</v>
      </c>
      <c r="B33" s="1">
        <v>1</v>
      </c>
      <c r="F33" s="6"/>
      <c r="G33" s="6"/>
      <c r="H33" s="6"/>
      <c r="I33" s="6"/>
      <c r="J33" s="6"/>
      <c r="K33" s="6"/>
      <c r="L33" s="6"/>
      <c r="M33" s="6"/>
      <c r="P33" s="7"/>
    </row>
    <row r="34" spans="1:16" ht="15" customHeight="1" x14ac:dyDescent="0.2">
      <c r="A34" s="7" t="s">
        <v>155</v>
      </c>
      <c r="B34" s="1">
        <v>3</v>
      </c>
      <c r="F34" s="6"/>
      <c r="G34" s="6"/>
      <c r="H34" s="6"/>
      <c r="I34" s="6"/>
      <c r="J34" s="6"/>
      <c r="K34" s="6"/>
      <c r="L34" s="6"/>
      <c r="M34" s="6"/>
      <c r="P34" s="7"/>
    </row>
    <row r="35" spans="1:16" ht="15" customHeight="1" x14ac:dyDescent="0.2">
      <c r="A35" s="7" t="s">
        <v>209</v>
      </c>
      <c r="B35" s="1">
        <v>2</v>
      </c>
      <c r="F35" s="6"/>
      <c r="G35" s="6"/>
      <c r="H35" s="6"/>
      <c r="I35" s="6"/>
      <c r="J35" s="6"/>
      <c r="K35" s="6"/>
      <c r="L35" s="6"/>
      <c r="M35" s="6"/>
      <c r="P35" s="7"/>
    </row>
    <row r="36" spans="1:16" ht="15" customHeight="1" x14ac:dyDescent="0.2">
      <c r="A36" s="7" t="s">
        <v>156</v>
      </c>
      <c r="B36" s="1">
        <v>1</v>
      </c>
      <c r="F36" s="6"/>
      <c r="G36" s="6"/>
      <c r="H36" s="6"/>
      <c r="I36" s="6"/>
      <c r="J36" s="6"/>
      <c r="K36" s="6"/>
      <c r="L36" s="6"/>
      <c r="M36" s="6"/>
      <c r="P36" s="7"/>
    </row>
    <row r="37" spans="1:16" ht="15" customHeight="1" x14ac:dyDescent="0.2">
      <c r="A37" s="8" t="s">
        <v>13</v>
      </c>
      <c r="B37" s="10"/>
      <c r="C37" s="10">
        <f>+C32/B32</f>
        <v>0</v>
      </c>
      <c r="D37" s="10">
        <f>+D32/B32</f>
        <v>0</v>
      </c>
      <c r="E37" s="10">
        <f>+E32/B32</f>
        <v>0</v>
      </c>
      <c r="F37" s="10"/>
      <c r="G37" s="10">
        <f>+(G32/F32)*0.5</f>
        <v>3.2110091743119268E-2</v>
      </c>
      <c r="H37" s="10">
        <f>+(H32/F32)*0.5</f>
        <v>5.5045871559633031E-2</v>
      </c>
      <c r="I37" s="10">
        <f>+(I32/F32)*0.5</f>
        <v>0</v>
      </c>
      <c r="J37" s="10"/>
      <c r="K37" s="10">
        <f>+(K32/J32)*0.3</f>
        <v>3.5999999999999997E-2</v>
      </c>
      <c r="L37" s="10">
        <f>+(L32/J32)*0.3</f>
        <v>5.4719999999999998E-2</v>
      </c>
      <c r="M37" s="10">
        <f>+(M32/J32)*0.3</f>
        <v>4.7999999999999996E-3</v>
      </c>
      <c r="P37" s="7"/>
    </row>
    <row r="38" spans="1:16" ht="15" customHeight="1" x14ac:dyDescent="0.2">
      <c r="A38" s="18" t="s">
        <v>40</v>
      </c>
      <c r="B38" s="1">
        <f>SUM(B39:B39)</f>
        <v>2</v>
      </c>
      <c r="C38" s="1">
        <f>SUM(C39:C39)</f>
        <v>0</v>
      </c>
      <c r="D38" s="1">
        <f>SUM(D39:D39)</f>
        <v>0</v>
      </c>
      <c r="E38" s="1">
        <f>SUM(E39:E39)</f>
        <v>0</v>
      </c>
      <c r="F38" s="6">
        <v>25</v>
      </c>
      <c r="G38" s="6">
        <v>0</v>
      </c>
      <c r="H38" s="6">
        <v>0</v>
      </c>
      <c r="I38" s="6">
        <v>0</v>
      </c>
      <c r="J38" s="6">
        <v>80</v>
      </c>
      <c r="K38" s="6">
        <v>55</v>
      </c>
      <c r="L38" s="6">
        <v>55</v>
      </c>
      <c r="M38" s="6">
        <v>0</v>
      </c>
      <c r="P38" s="7"/>
    </row>
    <row r="39" spans="1:16" ht="15" customHeight="1" x14ac:dyDescent="0.2">
      <c r="A39" s="7" t="s">
        <v>299</v>
      </c>
      <c r="B39" s="1">
        <v>2</v>
      </c>
      <c r="F39" s="6"/>
      <c r="G39" s="6"/>
      <c r="H39" s="6"/>
      <c r="I39" s="6"/>
      <c r="J39" s="6"/>
      <c r="K39" s="6"/>
      <c r="L39" s="6"/>
      <c r="M39" s="6"/>
      <c r="P39" s="7"/>
    </row>
    <row r="40" spans="1:16" ht="15" customHeight="1" x14ac:dyDescent="0.2">
      <c r="A40" s="8" t="s">
        <v>13</v>
      </c>
      <c r="B40" s="10"/>
      <c r="C40" s="10">
        <f>+C38/B38</f>
        <v>0</v>
      </c>
      <c r="D40" s="10">
        <f>+D38/B38</f>
        <v>0</v>
      </c>
      <c r="E40" s="10">
        <f>+E38/B38</f>
        <v>0</v>
      </c>
      <c r="F40" s="10"/>
      <c r="G40" s="10">
        <f>+(G38/F38)*0.5</f>
        <v>0</v>
      </c>
      <c r="H40" s="10">
        <f>+(H38/F38)*0.5</f>
        <v>0</v>
      </c>
      <c r="I40" s="10">
        <f>+(I38/F38)*0.5</f>
        <v>0</v>
      </c>
      <c r="J40" s="10"/>
      <c r="K40" s="10">
        <f>+(K38/J38)*0.3</f>
        <v>0.20624999999999999</v>
      </c>
      <c r="L40" s="10">
        <f>+(L38/J38)*0.3</f>
        <v>0.20624999999999999</v>
      </c>
      <c r="M40" s="10">
        <f>+(M38/J38)*0.3</f>
        <v>0</v>
      </c>
      <c r="P40" s="7"/>
    </row>
    <row r="41" spans="1:16" ht="15" customHeight="1" x14ac:dyDescent="0.2">
      <c r="A41" s="18" t="s">
        <v>39</v>
      </c>
      <c r="B41" s="6">
        <f>SUM(B42:B42)</f>
        <v>3</v>
      </c>
      <c r="C41" s="6">
        <f>SUM(C42:C42)</f>
        <v>2</v>
      </c>
      <c r="D41" s="6">
        <f>SUM(D42:D42)</f>
        <v>2</v>
      </c>
      <c r="E41" s="6">
        <f>SUM(E42:E42)</f>
        <v>0</v>
      </c>
      <c r="F41" s="6">
        <v>650</v>
      </c>
      <c r="G41" s="6">
        <v>45</v>
      </c>
      <c r="H41" s="6">
        <v>159</v>
      </c>
      <c r="I41" s="6">
        <v>20</v>
      </c>
      <c r="J41" s="6">
        <v>785</v>
      </c>
      <c r="K41" s="6">
        <v>45</v>
      </c>
      <c r="L41" s="6">
        <v>229</v>
      </c>
      <c r="M41" s="6">
        <v>40</v>
      </c>
      <c r="P41" s="7"/>
    </row>
    <row r="42" spans="1:16" ht="15" customHeight="1" x14ac:dyDescent="0.2">
      <c r="A42" s="7" t="s">
        <v>159</v>
      </c>
      <c r="B42" s="6">
        <v>3</v>
      </c>
      <c r="C42" s="6">
        <v>2</v>
      </c>
      <c r="D42" s="6">
        <v>2</v>
      </c>
      <c r="E42" s="6"/>
      <c r="F42" s="6"/>
      <c r="G42" s="6"/>
      <c r="H42" s="6"/>
      <c r="I42" s="6"/>
      <c r="J42" s="6"/>
      <c r="K42" s="6"/>
      <c r="L42" s="6"/>
      <c r="M42" s="6"/>
    </row>
    <row r="43" spans="1:16" ht="15" customHeight="1" x14ac:dyDescent="0.2">
      <c r="A43" s="8" t="s">
        <v>13</v>
      </c>
      <c r="B43" s="10"/>
      <c r="C43" s="10">
        <f>+C41/B41</f>
        <v>0.66666666666666663</v>
      </c>
      <c r="D43" s="10">
        <f>+D41/B41</f>
        <v>0.66666666666666663</v>
      </c>
      <c r="E43" s="10">
        <f>+E41/B41</f>
        <v>0</v>
      </c>
      <c r="F43" s="10"/>
      <c r="G43" s="10">
        <f>+(G41/F41)*0.5</f>
        <v>3.4615384615384617E-2</v>
      </c>
      <c r="H43" s="10">
        <f>+(H41/F41)*0.5</f>
        <v>0.12230769230769231</v>
      </c>
      <c r="I43" s="10">
        <f>+(I41/F41)*0.5</f>
        <v>1.5384615384615385E-2</v>
      </c>
      <c r="J43" s="10"/>
      <c r="K43" s="10">
        <f>+(K41/J41)*0.3</f>
        <v>1.7197452229299363E-2</v>
      </c>
      <c r="L43" s="10">
        <f>+(L41/J41)*0.3</f>
        <v>8.751592356687897E-2</v>
      </c>
      <c r="M43" s="10">
        <f>+(M41/J41)*0.3</f>
        <v>1.5286624203821656E-2</v>
      </c>
    </row>
    <row r="44" spans="1:16" ht="15" customHeight="1" x14ac:dyDescent="0.2">
      <c r="A44" s="18" t="s">
        <v>157</v>
      </c>
      <c r="B44" s="6">
        <f>SUM(B45:B50)</f>
        <v>13</v>
      </c>
      <c r="C44" s="6">
        <f>SUM(C45:C50)</f>
        <v>1</v>
      </c>
      <c r="D44" s="6">
        <f>SUM(D45:D50)</f>
        <v>1</v>
      </c>
      <c r="E44" s="6">
        <f>SUM(E45:E50)</f>
        <v>0</v>
      </c>
      <c r="F44" s="6">
        <v>430</v>
      </c>
      <c r="G44" s="6">
        <v>25</v>
      </c>
      <c r="H44" s="6">
        <v>90</v>
      </c>
      <c r="I44" s="6">
        <v>35</v>
      </c>
      <c r="J44" s="6">
        <v>515</v>
      </c>
      <c r="K44" s="6">
        <v>85</v>
      </c>
      <c r="L44" s="6">
        <v>150</v>
      </c>
      <c r="M44" s="6">
        <v>35</v>
      </c>
    </row>
    <row r="45" spans="1:16" ht="15" customHeight="1" x14ac:dyDescent="0.2">
      <c r="A45" s="7" t="s">
        <v>351</v>
      </c>
      <c r="B45" s="6">
        <v>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6" ht="15" customHeight="1" x14ac:dyDescent="0.2">
      <c r="A46" s="7" t="s">
        <v>181</v>
      </c>
      <c r="B46" s="6">
        <v>6</v>
      </c>
      <c r="C46" s="6">
        <v>1</v>
      </c>
      <c r="D46" s="6">
        <v>1</v>
      </c>
      <c r="E46" s="6"/>
      <c r="F46" s="6"/>
      <c r="G46" s="6"/>
      <c r="H46" s="6"/>
      <c r="I46" s="6"/>
      <c r="J46" s="6"/>
      <c r="K46" s="6"/>
      <c r="L46" s="6"/>
      <c r="M46" s="6"/>
    </row>
    <row r="47" spans="1:16" ht="15" customHeight="1" x14ac:dyDescent="0.2">
      <c r="A47" s="7" t="s">
        <v>549</v>
      </c>
      <c r="B47" s="6">
        <v>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6" ht="15" customHeight="1" x14ac:dyDescent="0.2">
      <c r="A48" s="7" t="s">
        <v>158</v>
      </c>
      <c r="B48" s="6">
        <v>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7" t="s">
        <v>487</v>
      </c>
      <c r="B49" s="6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7" t="s">
        <v>486</v>
      </c>
      <c r="B50" s="6">
        <v>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8" t="s">
        <v>13</v>
      </c>
      <c r="B51" s="10"/>
      <c r="C51" s="10">
        <f>+C44/B44</f>
        <v>7.6923076923076927E-2</v>
      </c>
      <c r="D51" s="10">
        <f>+D44/B44</f>
        <v>7.6923076923076927E-2</v>
      </c>
      <c r="E51" s="10">
        <f>+E44/B44</f>
        <v>0</v>
      </c>
      <c r="F51" s="10"/>
      <c r="G51" s="10">
        <f>+(G44/F44)*0.5</f>
        <v>2.9069767441860465E-2</v>
      </c>
      <c r="H51" s="10">
        <f>+(H44/F44)*0.5</f>
        <v>0.10465116279069768</v>
      </c>
      <c r="I51" s="10">
        <f>+(I44/F44)*0.5</f>
        <v>4.0697674418604654E-2</v>
      </c>
      <c r="J51" s="10"/>
      <c r="K51" s="10">
        <f>+(K44/J44)*0.3</f>
        <v>4.9514563106796118E-2</v>
      </c>
      <c r="L51" s="10">
        <f>+(L44/J44)*0.3</f>
        <v>8.7378640776699018E-2</v>
      </c>
      <c r="M51" s="10">
        <f>+(M44/J44)*0.3</f>
        <v>2.0388349514563104E-2</v>
      </c>
    </row>
    <row r="52" spans="1:13" ht="15" customHeight="1" x14ac:dyDescent="0.2">
      <c r="A52" s="18" t="s">
        <v>160</v>
      </c>
      <c r="B52" s="6">
        <f>SUM(B53:B54)</f>
        <v>2</v>
      </c>
      <c r="C52" s="6">
        <f>SUM(C53:C53)</f>
        <v>0</v>
      </c>
      <c r="D52" s="6">
        <f>SUM(D53:D53)</f>
        <v>0</v>
      </c>
      <c r="E52" s="6">
        <f>SUM(E53:E53)</f>
        <v>0</v>
      </c>
      <c r="F52" s="6">
        <v>725</v>
      </c>
      <c r="G52" s="6">
        <v>60</v>
      </c>
      <c r="H52" s="6">
        <v>75</v>
      </c>
      <c r="I52" s="6">
        <v>0</v>
      </c>
      <c r="J52" s="6">
        <v>970</v>
      </c>
      <c r="K52" s="6">
        <v>64</v>
      </c>
      <c r="L52" s="6">
        <v>79</v>
      </c>
      <c r="M52" s="6">
        <v>10</v>
      </c>
    </row>
    <row r="53" spans="1:13" ht="15" customHeight="1" x14ac:dyDescent="0.2">
      <c r="A53" s="7" t="s">
        <v>236</v>
      </c>
      <c r="B53" s="6">
        <v>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350</v>
      </c>
      <c r="B54" s="6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8" t="s">
        <v>13</v>
      </c>
      <c r="B55" s="14"/>
      <c r="C55" s="14">
        <f>+C52/B52</f>
        <v>0</v>
      </c>
      <c r="D55" s="14">
        <f>+D52/B52</f>
        <v>0</v>
      </c>
      <c r="E55" s="14">
        <f>+E52/B52</f>
        <v>0</v>
      </c>
      <c r="F55" s="14"/>
      <c r="G55" s="14">
        <f>+(G52/F52)*0.5</f>
        <v>4.1379310344827586E-2</v>
      </c>
      <c r="H55" s="14">
        <f>+(H52/F52)*0.5</f>
        <v>5.1724137931034482E-2</v>
      </c>
      <c r="I55" s="14">
        <f>+(I52/F52)*0.5</f>
        <v>0</v>
      </c>
      <c r="J55" s="14"/>
      <c r="K55" s="14">
        <f>+(K52/J52)*0.3</f>
        <v>1.9793814432989689E-2</v>
      </c>
      <c r="L55" s="14">
        <f>+(L52/J52)*0.3</f>
        <v>2.4432989690721649E-2</v>
      </c>
      <c r="M55" s="14">
        <f>+(M52/J52)*0.3</f>
        <v>3.092783505154639E-3</v>
      </c>
    </row>
    <row r="56" spans="1:13" ht="15" customHeight="1" x14ac:dyDescent="0.2">
      <c r="A56" s="18" t="s">
        <v>161</v>
      </c>
      <c r="B56" s="6">
        <f>SUM(B57:B61)</f>
        <v>15</v>
      </c>
      <c r="C56" s="6">
        <f>SUM(C57:C61)</f>
        <v>2</v>
      </c>
      <c r="D56" s="6">
        <f>SUM(D57:D61)</f>
        <v>2</v>
      </c>
      <c r="E56" s="6">
        <f>SUM(E57:E61)</f>
        <v>2</v>
      </c>
      <c r="F56" s="6">
        <v>760</v>
      </c>
      <c r="G56" s="6">
        <v>215</v>
      </c>
      <c r="H56" s="6">
        <v>225</v>
      </c>
      <c r="I56" s="6">
        <v>40</v>
      </c>
      <c r="J56" s="6">
        <v>810</v>
      </c>
      <c r="K56" s="6">
        <v>215</v>
      </c>
      <c r="L56" s="6">
        <v>225</v>
      </c>
      <c r="M56" s="6">
        <v>40</v>
      </c>
    </row>
    <row r="57" spans="1:13" ht="15" customHeight="1" x14ac:dyDescent="0.2">
      <c r="A57" s="7" t="s">
        <v>490</v>
      </c>
      <c r="B57" s="6">
        <v>2</v>
      </c>
      <c r="C57" s="6"/>
      <c r="D57" s="6"/>
      <c r="E57" s="6">
        <v>1</v>
      </c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7" t="s">
        <v>46</v>
      </c>
      <c r="B58" s="6">
        <v>9</v>
      </c>
      <c r="C58" s="6">
        <v>2</v>
      </c>
      <c r="D58" s="6">
        <v>2</v>
      </c>
      <c r="E58" s="6"/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7" t="s">
        <v>162</v>
      </c>
      <c r="B59" s="1">
        <v>2</v>
      </c>
      <c r="E59" s="6"/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7" t="s">
        <v>488</v>
      </c>
      <c r="B60" s="6">
        <v>1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5" customHeight="1" x14ac:dyDescent="0.2">
      <c r="A61" s="7" t="s">
        <v>489</v>
      </c>
      <c r="B61" s="6">
        <v>1</v>
      </c>
      <c r="C61" s="6"/>
      <c r="D61" s="6"/>
      <c r="E61" s="6">
        <v>1</v>
      </c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8" t="s">
        <v>13</v>
      </c>
      <c r="B62" s="10"/>
      <c r="C62" s="10">
        <f>+C56/B56</f>
        <v>0.13333333333333333</v>
      </c>
      <c r="D62" s="10">
        <f>+D56/B56</f>
        <v>0.13333333333333333</v>
      </c>
      <c r="E62" s="10">
        <f>+E56/B56</f>
        <v>0.13333333333333333</v>
      </c>
      <c r="F62" s="10"/>
      <c r="G62" s="10">
        <f>+(G56/F56)*0.5</f>
        <v>0.14144736842105263</v>
      </c>
      <c r="H62" s="10">
        <f>+(H56/F56)*0.5</f>
        <v>0.14802631578947367</v>
      </c>
      <c r="I62" s="10">
        <f>+(I56/F56)*0.5</f>
        <v>2.6315789473684209E-2</v>
      </c>
      <c r="J62" s="10"/>
      <c r="K62" s="10">
        <f>+(K56/J56)*0.3</f>
        <v>7.9629629629629634E-2</v>
      </c>
      <c r="L62" s="10">
        <f>+(L56/J56)*0.3</f>
        <v>8.3333333333333329E-2</v>
      </c>
      <c r="M62" s="10">
        <f>+(M56/J56)*0.3</f>
        <v>1.4814814814814814E-2</v>
      </c>
    </row>
    <row r="63" spans="1:13" ht="15" customHeight="1" x14ac:dyDescent="0.2">
      <c r="A63" s="2" t="s">
        <v>12</v>
      </c>
      <c r="B63" s="23">
        <f>SUM(B56,B52,B44,B41,B38,B32,B26,B22,B17,B14,B11,B7)</f>
        <v>75</v>
      </c>
      <c r="C63" s="6">
        <f t="shared" ref="C63:M63" si="1">+C7+C11+C14+C17+C22+C26+C32+C38+C41+C44+C52+C56</f>
        <v>15</v>
      </c>
      <c r="D63" s="6">
        <f t="shared" si="1"/>
        <v>15</v>
      </c>
      <c r="E63" s="6">
        <f t="shared" si="1"/>
        <v>6</v>
      </c>
      <c r="F63" s="6">
        <f t="shared" si="1"/>
        <v>7770</v>
      </c>
      <c r="G63" s="6">
        <f t="shared" si="1"/>
        <v>1200</v>
      </c>
      <c r="H63" s="6">
        <f t="shared" si="1"/>
        <v>2275</v>
      </c>
      <c r="I63" s="6">
        <f t="shared" si="1"/>
        <v>335</v>
      </c>
      <c r="J63" s="6">
        <f t="shared" si="1"/>
        <v>9545</v>
      </c>
      <c r="K63" s="6">
        <f t="shared" si="1"/>
        <v>1499</v>
      </c>
      <c r="L63" s="6">
        <f t="shared" si="1"/>
        <v>2843</v>
      </c>
      <c r="M63" s="6">
        <f t="shared" si="1"/>
        <v>460</v>
      </c>
    </row>
    <row r="64" spans="1:13" ht="15" customHeight="1" x14ac:dyDescent="0.2">
      <c r="A64" s="8" t="s">
        <v>13</v>
      </c>
      <c r="B64" s="14"/>
      <c r="C64" s="14">
        <f>+C63/B63</f>
        <v>0.2</v>
      </c>
      <c r="D64" s="14">
        <f>+D63/B63</f>
        <v>0.2</v>
      </c>
      <c r="E64" s="14">
        <f>+E63/B63</f>
        <v>0.08</v>
      </c>
      <c r="F64" s="14"/>
      <c r="G64" s="14">
        <f>+(G63/F63)*0.5</f>
        <v>7.7220077220077218E-2</v>
      </c>
      <c r="H64" s="14">
        <f>+(H63/F63)*0.5</f>
        <v>0.1463963963963964</v>
      </c>
      <c r="I64" s="14">
        <f>+(I63/F63)*0.5</f>
        <v>2.1557271557271558E-2</v>
      </c>
      <c r="J64" s="14"/>
      <c r="K64" s="14">
        <f>+(K63/J63)*0.3</f>
        <v>4.7113672079622838E-2</v>
      </c>
      <c r="L64" s="14">
        <f>+(L63/J63)*0.3</f>
        <v>8.9355683603981134E-2</v>
      </c>
      <c r="M64" s="14">
        <f>+(M63/J63)*0.3</f>
        <v>1.4457831325301205E-2</v>
      </c>
    </row>
    <row r="67" spans="1:4" ht="15" customHeight="1" x14ac:dyDescent="0.2">
      <c r="A67" s="2" t="s">
        <v>14</v>
      </c>
      <c r="B67" s="2" t="s">
        <v>3</v>
      </c>
      <c r="C67" s="2" t="s">
        <v>55</v>
      </c>
      <c r="D67" s="2" t="s">
        <v>4</v>
      </c>
    </row>
    <row r="69" spans="1:4" ht="15" customHeight="1" x14ac:dyDescent="0.2">
      <c r="A69" s="1" t="s">
        <v>107</v>
      </c>
      <c r="B69" s="16">
        <f>+G64</f>
        <v>7.7220077220077218E-2</v>
      </c>
      <c r="C69" s="16">
        <f>+H64</f>
        <v>0.1463963963963964</v>
      </c>
      <c r="D69" s="16">
        <f>+I64</f>
        <v>2.1557271557271558E-2</v>
      </c>
    </row>
    <row r="70" spans="1:4" ht="15" customHeight="1" x14ac:dyDescent="0.2">
      <c r="A70" s="1" t="s">
        <v>41</v>
      </c>
      <c r="B70" s="16">
        <f>+K64</f>
        <v>4.7113672079622838E-2</v>
      </c>
      <c r="C70" s="16">
        <f>+L64</f>
        <v>8.9355683603981134E-2</v>
      </c>
      <c r="D70" s="16">
        <f>+M64</f>
        <v>1.4457831325301205E-2</v>
      </c>
    </row>
    <row r="71" spans="1:4" ht="15" customHeight="1" x14ac:dyDescent="0.2">
      <c r="A71" s="1" t="s">
        <v>21</v>
      </c>
      <c r="B71" s="30">
        <v>0.04</v>
      </c>
      <c r="C71" s="16">
        <v>0.04</v>
      </c>
      <c r="D71" s="16">
        <v>1.6E-2</v>
      </c>
    </row>
    <row r="72" spans="1:4" ht="15" customHeight="1" x14ac:dyDescent="0.2">
      <c r="A72" s="17" t="s">
        <v>12</v>
      </c>
      <c r="B72" s="14">
        <f>SUM(B69:B71)</f>
        <v>0.16433374929970007</v>
      </c>
      <c r="C72" s="14">
        <f>SUM(C69:C71)</f>
        <v>0.27575208000037754</v>
      </c>
      <c r="D72" s="14">
        <f>SUM(D69:D71)</f>
        <v>5.2015102882572765E-2</v>
      </c>
    </row>
  </sheetData>
  <sortState ref="P9:P42">
    <sortCondition ref="P42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25"/>
  <pageSetup orientation="landscape" r:id="rId1"/>
  <headerFooter alignWithMargins="0">
    <oddHeader>&amp;C&amp;"Times New Roman,Bold"&amp;11AVAILABILITY ANALYSIS - 08/31/2018
&amp;REXHIBIT 5</oddHeader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49" zoomScaleNormal="100" workbookViewId="0">
      <selection activeCell="D69" sqref="D69"/>
    </sheetView>
  </sheetViews>
  <sheetFormatPr defaultColWidth="9.33203125" defaultRowHeight="15" customHeight="1" x14ac:dyDescent="0.2"/>
  <cols>
    <col min="1" max="1" width="41.83203125" style="1" customWidth="1"/>
    <col min="2" max="2" width="8.33203125" style="1" customWidth="1"/>
    <col min="3" max="3" width="10.1640625" style="1" bestFit="1" customWidth="1"/>
    <col min="4" max="4" width="9.83203125" style="1" customWidth="1"/>
    <col min="5" max="5" width="10.33203125" style="1" bestFit="1" customWidth="1"/>
    <col min="6" max="6" width="11.83203125" style="1" bestFit="1" customWidth="1"/>
    <col min="7" max="7" width="9.6640625" style="1" bestFit="1" customWidth="1"/>
    <col min="8" max="8" width="10.5" style="1" bestFit="1" customWidth="1"/>
    <col min="9" max="9" width="11.5" style="1" customWidth="1"/>
    <col min="10" max="10" width="9" style="1" bestFit="1" customWidth="1"/>
    <col min="11" max="11" width="8.33203125" style="1" customWidth="1"/>
    <col min="12" max="13" width="9.6640625" style="1" bestFit="1" customWidth="1"/>
    <col min="14" max="16384" width="9.33203125" style="1"/>
  </cols>
  <sheetData>
    <row r="1" spans="1:13" ht="15" customHeight="1" x14ac:dyDescent="0.2">
      <c r="A1" s="47" t="s">
        <v>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2</v>
      </c>
      <c r="G5" s="46"/>
      <c r="H5" s="46"/>
      <c r="I5" s="46"/>
      <c r="J5" s="46" t="s">
        <v>5</v>
      </c>
      <c r="K5" s="46"/>
      <c r="L5" s="46"/>
      <c r="M5" s="46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55</v>
      </c>
      <c r="E6" s="3" t="s">
        <v>4</v>
      </c>
      <c r="F6" s="3" t="s">
        <v>8</v>
      </c>
      <c r="G6" s="3" t="s">
        <v>3</v>
      </c>
      <c r="H6" s="3" t="s">
        <v>55</v>
      </c>
      <c r="I6" s="3" t="s">
        <v>4</v>
      </c>
      <c r="J6" s="3" t="s">
        <v>8</v>
      </c>
      <c r="K6" s="3" t="s">
        <v>3</v>
      </c>
      <c r="L6" s="3" t="s">
        <v>55</v>
      </c>
      <c r="M6" s="3" t="s">
        <v>4</v>
      </c>
    </row>
    <row r="7" spans="1:13" ht="63.75" x14ac:dyDescent="0.2">
      <c r="A7" s="15" t="s">
        <v>259</v>
      </c>
      <c r="B7" s="1">
        <f>SUM(B8:B10)</f>
        <v>3</v>
      </c>
      <c r="C7" s="1">
        <f>SUM(C8:C10)</f>
        <v>0</v>
      </c>
      <c r="D7" s="1">
        <f>SUM(D8:D10)</f>
        <v>0</v>
      </c>
      <c r="E7" s="1">
        <f>SUM(E8:E10)</f>
        <v>0</v>
      </c>
      <c r="F7" s="1">
        <v>6825</v>
      </c>
      <c r="G7" s="1">
        <v>629</v>
      </c>
      <c r="H7" s="1">
        <v>1334</v>
      </c>
      <c r="I7" s="1">
        <v>2365</v>
      </c>
      <c r="J7" s="1">
        <v>1940</v>
      </c>
      <c r="K7" s="1">
        <v>139</v>
      </c>
      <c r="L7" s="1">
        <v>279</v>
      </c>
      <c r="M7" s="1">
        <v>525</v>
      </c>
    </row>
    <row r="8" spans="1:13" ht="12.75" x14ac:dyDescent="0.2">
      <c r="A8" s="32" t="s">
        <v>147</v>
      </c>
      <c r="B8" s="1">
        <v>1</v>
      </c>
    </row>
    <row r="9" spans="1:13" ht="12.75" x14ac:dyDescent="0.2">
      <c r="A9" s="32" t="s">
        <v>216</v>
      </c>
      <c r="B9" s="1">
        <v>1</v>
      </c>
    </row>
    <row r="10" spans="1:13" ht="15" customHeight="1" x14ac:dyDescent="0.2">
      <c r="A10" s="7" t="s">
        <v>303</v>
      </c>
      <c r="B10" s="6">
        <v>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8" t="s">
        <v>13</v>
      </c>
      <c r="B11" s="14"/>
      <c r="C11" s="14">
        <f>+C7/B7</f>
        <v>0</v>
      </c>
      <c r="D11" s="14">
        <f>+D7/B7</f>
        <v>0</v>
      </c>
      <c r="E11" s="14">
        <f>+E7/B7</f>
        <v>0</v>
      </c>
      <c r="F11" s="14"/>
      <c r="G11" s="14">
        <f>+(G7/F7)*0.4</f>
        <v>3.6864468864468862E-2</v>
      </c>
      <c r="H11" s="14">
        <f>+(H7/F7)*0.4</f>
        <v>7.8183150183150196E-2</v>
      </c>
      <c r="I11" s="14">
        <f>+(I7/F7)*0.4</f>
        <v>0.13860805860805861</v>
      </c>
      <c r="J11" s="14"/>
      <c r="K11" s="14">
        <f>+(K7/J7)*0.4</f>
        <v>2.8659793814432989E-2</v>
      </c>
      <c r="L11" s="14">
        <f>+(L7/J7)*0.4</f>
        <v>5.752577319587629E-2</v>
      </c>
      <c r="M11" s="14">
        <f>+(M7/J7)*0.4</f>
        <v>0.10824742268041238</v>
      </c>
    </row>
    <row r="12" spans="1:13" ht="15" customHeight="1" x14ac:dyDescent="0.2">
      <c r="A12" s="18" t="s">
        <v>139</v>
      </c>
      <c r="B12" s="1">
        <f>SUM(B13:B13)</f>
        <v>1</v>
      </c>
      <c r="C12" s="1">
        <f>SUM(C13:C13)</f>
        <v>0</v>
      </c>
      <c r="D12" s="1">
        <f>SUM(D13:D13)</f>
        <v>0</v>
      </c>
      <c r="E12" s="1">
        <f>SUM(E13:E13)</f>
        <v>0</v>
      </c>
      <c r="F12" s="6">
        <v>3120</v>
      </c>
      <c r="G12" s="6">
        <v>260</v>
      </c>
      <c r="H12" s="6">
        <v>539</v>
      </c>
      <c r="I12" s="6">
        <v>400</v>
      </c>
      <c r="J12" s="6">
        <v>2640</v>
      </c>
      <c r="K12" s="6">
        <v>260</v>
      </c>
      <c r="L12" s="6">
        <v>505</v>
      </c>
      <c r="M12" s="6">
        <v>285</v>
      </c>
    </row>
    <row r="13" spans="1:13" ht="15" customHeight="1" x14ac:dyDescent="0.2">
      <c r="A13" s="7" t="s">
        <v>540</v>
      </c>
      <c r="B13" s="6">
        <v>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">
      <c r="A14" s="8" t="s">
        <v>13</v>
      </c>
      <c r="B14" s="10"/>
      <c r="C14" s="10">
        <f>+C12/B12</f>
        <v>0</v>
      </c>
      <c r="D14" s="10">
        <f>+D12/B12</f>
        <v>0</v>
      </c>
      <c r="E14" s="10">
        <f>+E12/B12</f>
        <v>0</v>
      </c>
      <c r="F14" s="10"/>
      <c r="G14" s="14">
        <f>+(G12/F12)*0.4</f>
        <v>3.3333333333333333E-2</v>
      </c>
      <c r="H14" s="14">
        <f>+(H12/F12)*0.4</f>
        <v>6.9102564102564101E-2</v>
      </c>
      <c r="I14" s="14">
        <f>+(I12/F12)*0.4</f>
        <v>5.128205128205128E-2</v>
      </c>
      <c r="J14" s="14"/>
      <c r="K14" s="14">
        <f>+(K12/J12)*0.4</f>
        <v>3.9393939393939398E-2</v>
      </c>
      <c r="L14" s="14">
        <f>+(L12/J12)*0.4</f>
        <v>7.6515151515151522E-2</v>
      </c>
      <c r="M14" s="14">
        <f>+(M12/J12)*0.4</f>
        <v>4.3181818181818182E-2</v>
      </c>
    </row>
    <row r="15" spans="1:13" ht="15" customHeight="1" x14ac:dyDescent="0.2">
      <c r="A15" s="12" t="s">
        <v>263</v>
      </c>
      <c r="B15" s="1">
        <f>SUM(B16:B16)</f>
        <v>1</v>
      </c>
      <c r="C15" s="1">
        <f>SUM(C16:C16)</f>
        <v>0</v>
      </c>
      <c r="D15" s="1">
        <f>SUM(D16:D16)</f>
        <v>0</v>
      </c>
      <c r="E15" s="1">
        <f>SUM(E16:E16)</f>
        <v>0</v>
      </c>
      <c r="F15" s="1">
        <v>3540</v>
      </c>
      <c r="G15" s="1">
        <v>725</v>
      </c>
      <c r="H15" s="1">
        <v>872</v>
      </c>
      <c r="I15" s="1">
        <v>1185</v>
      </c>
      <c r="J15" s="1">
        <v>420</v>
      </c>
      <c r="K15" s="1">
        <v>130</v>
      </c>
      <c r="L15" s="1">
        <v>150</v>
      </c>
      <c r="M15" s="1">
        <v>80</v>
      </c>
    </row>
    <row r="16" spans="1:13" ht="15" customHeight="1" x14ac:dyDescent="0.2">
      <c r="A16" s="7" t="s">
        <v>210</v>
      </c>
      <c r="B16" s="6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2">
      <c r="A17" s="8" t="s">
        <v>13</v>
      </c>
      <c r="B17" s="14"/>
      <c r="C17" s="14">
        <f>+C15/B15</f>
        <v>0</v>
      </c>
      <c r="D17" s="14">
        <f>+D15/B15</f>
        <v>0</v>
      </c>
      <c r="E17" s="14">
        <f>+E15/B15</f>
        <v>0</v>
      </c>
      <c r="F17" s="14"/>
      <c r="G17" s="14">
        <f>+(G15/F15)*0.4</f>
        <v>8.1920903954802268E-2</v>
      </c>
      <c r="H17" s="14">
        <f>+(H15/F15)*0.4</f>
        <v>9.8531073446327694E-2</v>
      </c>
      <c r="I17" s="14">
        <f>+(I15/F15)*0.4</f>
        <v>0.13389830508474576</v>
      </c>
      <c r="J17" s="14"/>
      <c r="K17" s="14">
        <f>+(K15/J15)*0.4</f>
        <v>0.12380952380952381</v>
      </c>
      <c r="L17" s="14">
        <f>+(L15/J15)*0.4</f>
        <v>0.14285714285714288</v>
      </c>
      <c r="M17" s="14">
        <f>+(M15/J15)*0.4</f>
        <v>7.6190476190476197E-2</v>
      </c>
    </row>
    <row r="18" spans="1:13" ht="15" customHeight="1" x14ac:dyDescent="0.2">
      <c r="A18" s="5" t="s">
        <v>257</v>
      </c>
      <c r="B18" s="1">
        <f>SUM(B19:B22)</f>
        <v>7</v>
      </c>
      <c r="C18" s="1">
        <f t="shared" ref="C18:E18" si="0">SUM(C19:C22)</f>
        <v>1</v>
      </c>
      <c r="D18" s="1">
        <f t="shared" si="0"/>
        <v>1</v>
      </c>
      <c r="E18" s="1">
        <f t="shared" si="0"/>
        <v>4</v>
      </c>
      <c r="F18" s="6">
        <v>1158885</v>
      </c>
      <c r="G18" s="6">
        <v>40045</v>
      </c>
      <c r="H18" s="6">
        <v>154150</v>
      </c>
      <c r="I18" s="6">
        <v>257150</v>
      </c>
      <c r="J18" s="6">
        <v>13240</v>
      </c>
      <c r="K18" s="6">
        <v>785</v>
      </c>
      <c r="L18" s="6">
        <v>1290</v>
      </c>
      <c r="M18" s="6">
        <v>3185</v>
      </c>
    </row>
    <row r="19" spans="1:13" ht="15" customHeight="1" x14ac:dyDescent="0.2">
      <c r="A19" s="7" t="s">
        <v>541</v>
      </c>
      <c r="B19" s="6">
        <v>3</v>
      </c>
      <c r="C19" s="6">
        <v>1</v>
      </c>
      <c r="D19" s="6">
        <v>1</v>
      </c>
      <c r="E19" s="6">
        <v>2</v>
      </c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2">
      <c r="A20" s="7" t="s">
        <v>241</v>
      </c>
      <c r="B20" s="6">
        <v>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7" t="s">
        <v>211</v>
      </c>
      <c r="B21" s="6">
        <v>1</v>
      </c>
      <c r="C21" s="6"/>
      <c r="D21" s="6"/>
      <c r="E21" s="6">
        <v>1</v>
      </c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7" t="s">
        <v>215</v>
      </c>
      <c r="B22" s="6">
        <v>2</v>
      </c>
      <c r="C22" s="6"/>
      <c r="D22" s="6"/>
      <c r="E22" s="6">
        <v>1</v>
      </c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8" t="s">
        <v>13</v>
      </c>
      <c r="B23" s="9"/>
      <c r="C23" s="10">
        <f>+C18/B18</f>
        <v>0.14285714285714285</v>
      </c>
      <c r="D23" s="11">
        <f>+D18/B18</f>
        <v>0.14285714285714285</v>
      </c>
      <c r="E23" s="10">
        <f>+E18/B18</f>
        <v>0.5714285714285714</v>
      </c>
      <c r="F23" s="9"/>
      <c r="G23" s="10">
        <f>(G18/F18)*0.35</f>
        <v>1.2094168101235238E-2</v>
      </c>
      <c r="H23" s="10">
        <f>(H18/F18)*0.35</f>
        <v>4.6555525354111921E-2</v>
      </c>
      <c r="I23" s="10">
        <f>+(I18/F18)*0.35</f>
        <v>7.7663012291987563E-2</v>
      </c>
      <c r="J23" s="9"/>
      <c r="K23" s="10">
        <f>+(K18/J18)*0.35</f>
        <v>2.0751510574018125E-2</v>
      </c>
      <c r="L23" s="10">
        <f>+(L18/J18)*0.35</f>
        <v>3.4101208459214494E-2</v>
      </c>
      <c r="M23" s="10">
        <f>+(M18/J18)*0.35</f>
        <v>8.419561933534743E-2</v>
      </c>
    </row>
    <row r="24" spans="1:13" ht="15" customHeight="1" x14ac:dyDescent="0.2">
      <c r="A24" s="5" t="s">
        <v>126</v>
      </c>
      <c r="B24" s="6">
        <f>SUM(B25:B25)</f>
        <v>1</v>
      </c>
      <c r="C24" s="6">
        <f>SUM(C25:C25)</f>
        <v>1</v>
      </c>
      <c r="D24" s="6">
        <f>SUM(D25:D25)</f>
        <v>1</v>
      </c>
      <c r="E24" s="6">
        <f>SUM(E25:E25)</f>
        <v>0</v>
      </c>
      <c r="F24" s="6">
        <v>4625</v>
      </c>
      <c r="G24" s="6">
        <v>530</v>
      </c>
      <c r="H24" s="6">
        <v>640</v>
      </c>
      <c r="I24" s="6">
        <v>1355</v>
      </c>
      <c r="J24" s="6">
        <v>920</v>
      </c>
      <c r="K24" s="6">
        <v>45</v>
      </c>
      <c r="L24" s="6">
        <v>55</v>
      </c>
      <c r="M24" s="6">
        <v>285</v>
      </c>
    </row>
    <row r="25" spans="1:13" ht="15" customHeight="1" x14ac:dyDescent="0.2">
      <c r="A25" s="7" t="s">
        <v>543</v>
      </c>
      <c r="B25" s="6">
        <v>1</v>
      </c>
      <c r="C25" s="6">
        <v>1</v>
      </c>
      <c r="D25" s="6">
        <v>1</v>
      </c>
      <c r="E25" s="6"/>
      <c r="F25" s="6"/>
      <c r="G25" s="6"/>
      <c r="H25" s="6"/>
      <c r="I25" s="6"/>
      <c r="J25" s="6"/>
    </row>
    <row r="26" spans="1:13" ht="15" customHeight="1" x14ac:dyDescent="0.2">
      <c r="A26" s="8" t="s">
        <v>13</v>
      </c>
      <c r="B26" s="9"/>
      <c r="C26" s="10">
        <f>+C24/B24</f>
        <v>1</v>
      </c>
      <c r="D26" s="10">
        <f>+D24/B24</f>
        <v>1</v>
      </c>
      <c r="E26" s="10">
        <f>+E24/B24</f>
        <v>0</v>
      </c>
      <c r="F26" s="9"/>
      <c r="G26" s="10">
        <f>(G24/F24)*0.4</f>
        <v>4.583783783783784E-2</v>
      </c>
      <c r="H26" s="10">
        <f>(H24/F24)*0.4</f>
        <v>5.5351351351351358E-2</v>
      </c>
      <c r="I26" s="10">
        <f>+(I24/F24)*0.4</f>
        <v>0.11718918918918919</v>
      </c>
      <c r="J26" s="9"/>
      <c r="K26" s="10">
        <f>+(K24/J24)*0.4</f>
        <v>1.9565217391304349E-2</v>
      </c>
      <c r="L26" s="10">
        <f>+(L24/J24)*0.4</f>
        <v>2.391304347826087E-2</v>
      </c>
      <c r="M26" s="10">
        <f>+(M24/J24)*0.4</f>
        <v>0.12391304347826088</v>
      </c>
    </row>
    <row r="27" spans="1:13" ht="15" customHeight="1" x14ac:dyDescent="0.2">
      <c r="A27" s="12" t="s">
        <v>120</v>
      </c>
      <c r="B27" s="1">
        <f>SUM(B28:B37)</f>
        <v>27</v>
      </c>
      <c r="C27" s="1">
        <f t="shared" ref="C27:E27" si="1">SUM(C28:C37)</f>
        <v>1</v>
      </c>
      <c r="D27" s="1">
        <f t="shared" si="1"/>
        <v>5</v>
      </c>
      <c r="E27" s="1">
        <f t="shared" si="1"/>
        <v>8</v>
      </c>
      <c r="F27" s="1">
        <v>848645</v>
      </c>
      <c r="G27" s="1">
        <v>115625</v>
      </c>
      <c r="H27" s="1">
        <v>209815</v>
      </c>
      <c r="I27" s="1">
        <v>541165</v>
      </c>
      <c r="J27" s="1">
        <v>12400</v>
      </c>
      <c r="K27" s="1">
        <v>3550</v>
      </c>
      <c r="L27" s="1">
        <v>3729</v>
      </c>
      <c r="M27" s="1">
        <v>7675</v>
      </c>
    </row>
    <row r="28" spans="1:13" ht="15" customHeight="1" x14ac:dyDescent="0.2">
      <c r="A28" s="7" t="s">
        <v>547</v>
      </c>
      <c r="B28" s="6">
        <v>9</v>
      </c>
      <c r="C28" s="6">
        <v>1</v>
      </c>
      <c r="D28" s="6">
        <v>3</v>
      </c>
      <c r="E28" s="6">
        <v>2</v>
      </c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7" t="s">
        <v>548</v>
      </c>
      <c r="B29" s="6">
        <v>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7" t="s">
        <v>212</v>
      </c>
      <c r="B30" s="6">
        <v>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5" customHeight="1" x14ac:dyDescent="0.2">
      <c r="A31" s="7" t="s">
        <v>324</v>
      </c>
      <c r="B31" s="6">
        <v>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7" t="s">
        <v>542</v>
      </c>
      <c r="B32" s="6">
        <v>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7" t="s">
        <v>146</v>
      </c>
      <c r="B33" s="6">
        <v>9</v>
      </c>
      <c r="C33" s="6"/>
      <c r="D33" s="6">
        <v>2</v>
      </c>
      <c r="E33" s="6">
        <v>3</v>
      </c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7" t="s">
        <v>398</v>
      </c>
      <c r="B34" s="6">
        <v>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302</v>
      </c>
      <c r="B35" s="6">
        <v>1</v>
      </c>
      <c r="C35" s="6"/>
      <c r="D35" s="6"/>
      <c r="E35" s="6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7" t="s">
        <v>544</v>
      </c>
      <c r="B36" s="6">
        <v>2</v>
      </c>
      <c r="C36" s="6"/>
      <c r="D36" s="6"/>
      <c r="E36" s="6">
        <v>2</v>
      </c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7" t="s">
        <v>545</v>
      </c>
      <c r="B37" s="6">
        <v>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8" t="s">
        <v>13</v>
      </c>
      <c r="B38" s="14"/>
      <c r="C38" s="14">
        <f>+C27/B27</f>
        <v>3.7037037037037035E-2</v>
      </c>
      <c r="D38" s="14">
        <f>+D27/B27</f>
        <v>0.18518518518518517</v>
      </c>
      <c r="E38" s="14">
        <f>+E27/B27</f>
        <v>0.29629629629629628</v>
      </c>
      <c r="F38" s="14"/>
      <c r="G38" s="14">
        <f>+(G27/F27)*0.35</f>
        <v>4.7686311708664983E-2</v>
      </c>
      <c r="H38" s="14">
        <f>+(H27/F27)*0.35</f>
        <v>8.6532354518084706E-2</v>
      </c>
      <c r="I38" s="14">
        <f>+(I27/F27)*0.35</f>
        <v>0.22318843568276486</v>
      </c>
      <c r="J38" s="14"/>
      <c r="K38" s="14">
        <f>+(K27/J27)*0.35</f>
        <v>0.10020161290322581</v>
      </c>
      <c r="L38" s="14">
        <f>+(L27/J27)*0.35</f>
        <v>0.10525403225806451</v>
      </c>
      <c r="M38" s="14">
        <f>+(M27/J27)*0.35</f>
        <v>0.21663306451612901</v>
      </c>
    </row>
    <row r="39" spans="1:13" ht="15" customHeight="1" x14ac:dyDescent="0.2">
      <c r="A39" s="12" t="s">
        <v>7</v>
      </c>
      <c r="B39" s="1">
        <f>SUM(B40:B41)</f>
        <v>2</v>
      </c>
      <c r="C39" s="1">
        <f>SUM(C40:C41)</f>
        <v>1</v>
      </c>
      <c r="D39" s="1">
        <f>SUM(D40:D41)</f>
        <v>2</v>
      </c>
      <c r="E39" s="1">
        <f>SUM(E40:E41)</f>
        <v>0</v>
      </c>
      <c r="F39" s="1">
        <v>1108810</v>
      </c>
      <c r="G39" s="1">
        <v>88195</v>
      </c>
      <c r="H39" s="1">
        <v>261440</v>
      </c>
      <c r="I39" s="1">
        <v>596500</v>
      </c>
      <c r="J39" s="1">
        <v>14045</v>
      </c>
      <c r="K39" s="1">
        <v>2205</v>
      </c>
      <c r="L39" s="1">
        <v>2555</v>
      </c>
      <c r="M39" s="1">
        <v>8265</v>
      </c>
    </row>
    <row r="40" spans="1:13" ht="15" customHeight="1" x14ac:dyDescent="0.2">
      <c r="A40" s="7" t="s">
        <v>234</v>
      </c>
      <c r="B40" s="6">
        <v>1</v>
      </c>
      <c r="C40" s="6"/>
      <c r="D40" s="6">
        <v>1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281</v>
      </c>
      <c r="B41" s="6">
        <v>1</v>
      </c>
      <c r="C41" s="6">
        <v>1</v>
      </c>
      <c r="D41" s="6">
        <v>1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8" t="s">
        <v>13</v>
      </c>
      <c r="B42" s="14"/>
      <c r="C42" s="14">
        <f>+C39/B39</f>
        <v>0.5</v>
      </c>
      <c r="D42" s="14">
        <f>+D39/B39</f>
        <v>1</v>
      </c>
      <c r="E42" s="14">
        <f>+E39/B39</f>
        <v>0</v>
      </c>
      <c r="F42" s="14"/>
      <c r="G42" s="14">
        <f>+(G39/F39)*0.35</f>
        <v>2.7839079734129378E-2</v>
      </c>
      <c r="H42" s="14">
        <f>+(H39/F39)*0.35</f>
        <v>8.2524508256599405E-2</v>
      </c>
      <c r="I42" s="14">
        <f>+(I39/F39)*0.35</f>
        <v>0.18828744329506408</v>
      </c>
      <c r="J42" s="14"/>
      <c r="K42" s="14">
        <f>+(K39/J39)*0.35</f>
        <v>5.4948380206479172E-2</v>
      </c>
      <c r="L42" s="14">
        <f>+(L39/J39)*0.35</f>
        <v>6.3670345318618718E-2</v>
      </c>
      <c r="M42" s="14">
        <f>+(M39/J39)*0.35</f>
        <v>0.20596297614809542</v>
      </c>
    </row>
    <row r="43" spans="1:13" ht="38.25" x14ac:dyDescent="0.2">
      <c r="A43" s="15" t="s">
        <v>260</v>
      </c>
      <c r="B43" s="6">
        <f>SUM(B44:B45)</f>
        <v>2</v>
      </c>
      <c r="C43" s="6">
        <f>SUM(C44:C45)</f>
        <v>0</v>
      </c>
      <c r="D43" s="6">
        <f>SUM(D44:D45)</f>
        <v>2</v>
      </c>
      <c r="E43" s="6">
        <f>SUM(E44:E45)</f>
        <v>0</v>
      </c>
      <c r="F43" s="6">
        <v>15125</v>
      </c>
      <c r="G43" s="6">
        <v>2320</v>
      </c>
      <c r="H43" s="6">
        <v>2688</v>
      </c>
      <c r="I43" s="6">
        <v>8960</v>
      </c>
      <c r="J43" s="6">
        <v>1400</v>
      </c>
      <c r="K43" s="6">
        <v>250</v>
      </c>
      <c r="L43" s="6">
        <v>275</v>
      </c>
      <c r="M43" s="6">
        <v>705</v>
      </c>
    </row>
    <row r="44" spans="1:13" ht="15" customHeight="1" x14ac:dyDescent="0.2">
      <c r="A44" s="7" t="s">
        <v>399</v>
      </c>
      <c r="B44" s="6">
        <v>1</v>
      </c>
      <c r="C44" s="6"/>
      <c r="D44" s="6">
        <v>1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5" customHeight="1" x14ac:dyDescent="0.2">
      <c r="A45" s="7" t="s">
        <v>199</v>
      </c>
      <c r="B45" s="6">
        <v>1</v>
      </c>
      <c r="C45" s="6"/>
      <c r="D45" s="6">
        <v>1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ht="15" customHeight="1" x14ac:dyDescent="0.2">
      <c r="A46" s="8" t="s">
        <v>13</v>
      </c>
      <c r="B46" s="14"/>
      <c r="C46" s="14">
        <f>+C43/B43</f>
        <v>0</v>
      </c>
      <c r="D46" s="14">
        <f>+D43/B43</f>
        <v>1</v>
      </c>
      <c r="E46" s="14">
        <f>+E43/B43</f>
        <v>0</v>
      </c>
      <c r="F46" s="14"/>
      <c r="G46" s="14">
        <f>+(G43/F43)*0.4</f>
        <v>6.1355371900826454E-2</v>
      </c>
      <c r="H46" s="14">
        <f>+(H43/F43)*0.4</f>
        <v>7.1087603305785119E-2</v>
      </c>
      <c r="I46" s="14">
        <f>+(I43/F43)*0.4</f>
        <v>0.23695867768595044</v>
      </c>
      <c r="J46" s="14"/>
      <c r="K46" s="14">
        <f>+(K43/J43)*0.4</f>
        <v>7.1428571428571438E-2</v>
      </c>
      <c r="L46" s="14">
        <f>+(L43/J43)*0.4</f>
        <v>7.857142857142857E-2</v>
      </c>
      <c r="M46" s="14">
        <f>+(M43/J43)*0.4</f>
        <v>0.20142857142857143</v>
      </c>
    </row>
    <row r="47" spans="1:13" ht="15" customHeight="1" x14ac:dyDescent="0.2">
      <c r="A47" s="12" t="s">
        <v>148</v>
      </c>
      <c r="B47" s="1">
        <f>SUM(B48:B49)</f>
        <v>2</v>
      </c>
      <c r="C47" s="1">
        <f>SUM(C48:C49)</f>
        <v>0</v>
      </c>
      <c r="D47" s="1">
        <f>SUM(D48:D49)</f>
        <v>0</v>
      </c>
      <c r="E47" s="1">
        <f>SUM(E48:E49)</f>
        <v>0</v>
      </c>
      <c r="F47" s="1">
        <v>969820</v>
      </c>
      <c r="G47" s="1">
        <v>58360</v>
      </c>
      <c r="H47" s="1">
        <v>180495</v>
      </c>
      <c r="I47" s="1">
        <v>283200</v>
      </c>
      <c r="J47" s="1">
        <v>11800</v>
      </c>
      <c r="K47" s="1">
        <v>1135</v>
      </c>
      <c r="L47" s="1">
        <v>1555</v>
      </c>
      <c r="M47" s="1">
        <v>3110</v>
      </c>
    </row>
    <row r="48" spans="1:13" ht="15" customHeight="1" x14ac:dyDescent="0.2">
      <c r="A48" s="7" t="s">
        <v>395</v>
      </c>
      <c r="B48" s="1">
        <v>1</v>
      </c>
    </row>
    <row r="49" spans="1:13" ht="15" customHeight="1" x14ac:dyDescent="0.2">
      <c r="A49" s="7" t="s">
        <v>400</v>
      </c>
      <c r="B49" s="6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8" t="s">
        <v>13</v>
      </c>
      <c r="B50" s="14"/>
      <c r="C50" s="14">
        <f>+C47/B47</f>
        <v>0</v>
      </c>
      <c r="D50" s="14">
        <f>+D47/B47</f>
        <v>0</v>
      </c>
      <c r="E50" s="14">
        <f>+E47/B47</f>
        <v>0</v>
      </c>
      <c r="F50" s="14"/>
      <c r="G50" s="14">
        <f>+(G47/F47)*0.35</f>
        <v>2.106164030438638E-2</v>
      </c>
      <c r="H50" s="14">
        <f>+(H47/F47)*0.35</f>
        <v>6.5139149532903007E-2</v>
      </c>
      <c r="I50" s="14">
        <f>+(I47/F47)*0.35</f>
        <v>0.10220453279990101</v>
      </c>
      <c r="J50" s="14"/>
      <c r="K50" s="14">
        <f>+(K47/J47)*0.35</f>
        <v>3.3665254237288132E-2</v>
      </c>
      <c r="L50" s="14">
        <f>+(L47/J47)*0.35</f>
        <v>4.6122881355932205E-2</v>
      </c>
      <c r="M50" s="14">
        <f>+(M47/J47)*0.35</f>
        <v>9.224576271186441E-2</v>
      </c>
    </row>
    <row r="51" spans="1:13" ht="27.75" customHeight="1" x14ac:dyDescent="0.2">
      <c r="A51" s="15" t="s">
        <v>258</v>
      </c>
      <c r="B51" s="1">
        <f>B52</f>
        <v>1</v>
      </c>
      <c r="C51" s="1">
        <f>C52</f>
        <v>1</v>
      </c>
      <c r="D51" s="1">
        <f>D52</f>
        <v>1</v>
      </c>
      <c r="E51" s="1">
        <f>E52</f>
        <v>1</v>
      </c>
      <c r="F51" s="1">
        <v>359135</v>
      </c>
      <c r="G51" s="1">
        <v>36670</v>
      </c>
      <c r="H51" s="1">
        <v>95825</v>
      </c>
      <c r="I51" s="1">
        <v>305095</v>
      </c>
      <c r="J51" s="1">
        <v>3735</v>
      </c>
      <c r="K51" s="1">
        <v>705</v>
      </c>
      <c r="L51" s="1">
        <v>899</v>
      </c>
      <c r="M51" s="1">
        <v>2060</v>
      </c>
    </row>
    <row r="52" spans="1:13" ht="15" customHeight="1" x14ac:dyDescent="0.2">
      <c r="A52" s="7" t="s">
        <v>282</v>
      </c>
      <c r="B52" s="6">
        <v>1</v>
      </c>
      <c r="C52" s="6">
        <v>1</v>
      </c>
      <c r="D52" s="6">
        <v>1</v>
      </c>
      <c r="E52" s="6">
        <v>1</v>
      </c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8" t="s">
        <v>13</v>
      </c>
      <c r="B53" s="14"/>
      <c r="C53" s="14">
        <f>+C51/B51</f>
        <v>1</v>
      </c>
      <c r="D53" s="14">
        <f>+D51/B51</f>
        <v>1</v>
      </c>
      <c r="E53" s="14">
        <f>+E51/B51</f>
        <v>1</v>
      </c>
      <c r="F53" s="14"/>
      <c r="G53" s="14">
        <f>+(G51/F51)*0.35</f>
        <v>3.5737257577234186E-2</v>
      </c>
      <c r="H53" s="14">
        <f>+(H51/F51)*0.35</f>
        <v>9.3387584056134884E-2</v>
      </c>
      <c r="I53" s="14">
        <f>+(I51/F51)*0.35</f>
        <v>0.29733456778091805</v>
      </c>
      <c r="J53" s="14"/>
      <c r="K53" s="14">
        <f>+(K51/J51)*0.35</f>
        <v>6.6064257028112444E-2</v>
      </c>
      <c r="L53" s="14">
        <f>+(L51/J51)*0.35</f>
        <v>8.4243641231593044E-2</v>
      </c>
      <c r="M53" s="14">
        <f>+(M51/J51)*0.35</f>
        <v>0.19303882195448457</v>
      </c>
    </row>
    <row r="54" spans="1:13" ht="15" customHeight="1" x14ac:dyDescent="0.2">
      <c r="A54" s="18" t="s">
        <v>50</v>
      </c>
      <c r="B54" s="6">
        <f>SUM(B55:B56)</f>
        <v>2</v>
      </c>
      <c r="C54" s="6">
        <f t="shared" ref="C54:E54" si="2">SUM(C55:C56)</f>
        <v>0</v>
      </c>
      <c r="D54" s="6">
        <f t="shared" si="2"/>
        <v>0</v>
      </c>
      <c r="E54" s="6">
        <f t="shared" si="2"/>
        <v>0</v>
      </c>
      <c r="F54" s="6">
        <v>1120</v>
      </c>
      <c r="G54" s="6">
        <v>25</v>
      </c>
      <c r="H54" s="6">
        <v>385</v>
      </c>
      <c r="I54" s="6">
        <v>460</v>
      </c>
      <c r="J54" s="6">
        <v>195</v>
      </c>
      <c r="K54" s="6">
        <v>10</v>
      </c>
      <c r="L54" s="6">
        <v>35</v>
      </c>
      <c r="M54" s="6">
        <v>50</v>
      </c>
    </row>
    <row r="55" spans="1:13" ht="15" customHeight="1" x14ac:dyDescent="0.2">
      <c r="A55" s="7" t="s">
        <v>539</v>
      </c>
      <c r="B55" s="6">
        <v>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546</v>
      </c>
      <c r="B56" s="6">
        <v>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8" t="s">
        <v>13</v>
      </c>
      <c r="B57" s="10"/>
      <c r="C57" s="10">
        <f>+C54/B54</f>
        <v>0</v>
      </c>
      <c r="D57" s="10">
        <f>+D54/B54</f>
        <v>0</v>
      </c>
      <c r="E57" s="10">
        <f>+E54/B54</f>
        <v>0</v>
      </c>
      <c r="F57" s="10"/>
      <c r="G57" s="10">
        <f>+(G54/F54)*0.4</f>
        <v>8.9285714285714298E-3</v>
      </c>
      <c r="H57" s="10">
        <f>+(H54/F54)*0.4</f>
        <v>0.13750000000000001</v>
      </c>
      <c r="I57" s="10">
        <f>+(I54/F54)*0.4</f>
        <v>0.16428571428571428</v>
      </c>
      <c r="J57" s="10"/>
      <c r="K57" s="10">
        <f>+(K54/J54)*0.4</f>
        <v>2.0512820512820513E-2</v>
      </c>
      <c r="L57" s="10">
        <f>+(L54/J54)*0.4</f>
        <v>7.1794871794871803E-2</v>
      </c>
      <c r="M57" s="10">
        <f>+(M54/J54)*0.4</f>
        <v>0.10256410256410256</v>
      </c>
    </row>
    <row r="58" spans="1:13" ht="15" customHeight="1" x14ac:dyDescent="0.2">
      <c r="A58" s="5" t="s">
        <v>256</v>
      </c>
      <c r="B58" s="1">
        <f>SUM(B59:B59)</f>
        <v>1</v>
      </c>
      <c r="C58" s="1">
        <f>SUM(C59:C59)</f>
        <v>0</v>
      </c>
      <c r="D58" s="1">
        <f>SUM(D59:D59)</f>
        <v>0</v>
      </c>
      <c r="E58" s="1">
        <f>SUM(E59:E59)</f>
        <v>1</v>
      </c>
      <c r="F58" s="6">
        <v>57405</v>
      </c>
      <c r="G58" s="6">
        <v>4045</v>
      </c>
      <c r="H58" s="6">
        <v>9524</v>
      </c>
      <c r="I58" s="6">
        <v>34525</v>
      </c>
      <c r="J58" s="6">
        <v>595</v>
      </c>
      <c r="K58" s="6">
        <v>100</v>
      </c>
      <c r="L58" s="6">
        <v>150</v>
      </c>
      <c r="M58" s="6">
        <v>310</v>
      </c>
    </row>
    <row r="59" spans="1:13" ht="15" customHeight="1" x14ac:dyDescent="0.2">
      <c r="A59" s="7" t="s">
        <v>200</v>
      </c>
      <c r="B59" s="6">
        <v>1</v>
      </c>
      <c r="C59" s="6"/>
      <c r="D59" s="6"/>
      <c r="E59" s="6">
        <v>1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8" t="s">
        <v>13</v>
      </c>
      <c r="B60" s="14"/>
      <c r="C60" s="14">
        <f>+C58/B58</f>
        <v>0</v>
      </c>
      <c r="D60" s="14">
        <f>+D58/B58</f>
        <v>0</v>
      </c>
      <c r="E60" s="14">
        <f>+E58/B58</f>
        <v>1</v>
      </c>
      <c r="F60" s="14"/>
      <c r="G60" s="14">
        <f>+(G58/F58)*0.35</f>
        <v>2.4662485846180644E-2</v>
      </c>
      <c r="H60" s="14">
        <f>+(H58/F58)*0.35</f>
        <v>5.8068112533751409E-2</v>
      </c>
      <c r="I60" s="14">
        <f>+(I58/F58)*0.35</f>
        <v>0.21049995644978658</v>
      </c>
      <c r="J60" s="14"/>
      <c r="K60" s="14">
        <f>+(K58/J58)*0.35</f>
        <v>5.8823529411764705E-2</v>
      </c>
      <c r="L60" s="14">
        <f>+(L58/J58)*0.35</f>
        <v>8.8235294117647051E-2</v>
      </c>
      <c r="M60" s="14">
        <f>+(M58/J58)*0.35</f>
        <v>0.18235294117647058</v>
      </c>
    </row>
    <row r="61" spans="1:13" ht="15" customHeight="1" x14ac:dyDescent="0.2">
      <c r="A61" s="2" t="s">
        <v>12</v>
      </c>
      <c r="B61" s="6">
        <f>+B58+B54+B51+B47+B43+B39+B27+B25+B18+B16+B12+B7</f>
        <v>50</v>
      </c>
      <c r="C61" s="6">
        <f>+C58+C54+C51+C47+C43+C39+C27+C25+C18+C16+C12+C7</f>
        <v>5</v>
      </c>
      <c r="D61" s="6">
        <f>+D58+D54+D51+D47+D43+D39+D27+D25+D18+D16+D12+D7</f>
        <v>12</v>
      </c>
      <c r="E61" s="6">
        <f>+E58+E54+E51+E47+E43+E39+E27+E25+E18+E16+E12+E7</f>
        <v>14</v>
      </c>
      <c r="F61" s="6">
        <f t="shared" ref="F61:M61" si="3">+F18+F27+F39+F47+F51+F58</f>
        <v>4502700</v>
      </c>
      <c r="G61" s="6">
        <f t="shared" si="3"/>
        <v>342940</v>
      </c>
      <c r="H61" s="6">
        <f t="shared" si="3"/>
        <v>911249</v>
      </c>
      <c r="I61" s="6">
        <f t="shared" si="3"/>
        <v>2017635</v>
      </c>
      <c r="J61" s="6">
        <f t="shared" si="3"/>
        <v>55815</v>
      </c>
      <c r="K61" s="6">
        <f t="shared" si="3"/>
        <v>8480</v>
      </c>
      <c r="L61" s="6">
        <f t="shared" si="3"/>
        <v>10178</v>
      </c>
      <c r="M61" s="6">
        <f t="shared" si="3"/>
        <v>24605</v>
      </c>
    </row>
    <row r="62" spans="1:13" ht="15" customHeight="1" x14ac:dyDescent="0.2">
      <c r="A62" s="8" t="s">
        <v>13</v>
      </c>
      <c r="B62" s="14"/>
      <c r="C62" s="14">
        <f>+C61/B61</f>
        <v>0.1</v>
      </c>
      <c r="D62" s="14">
        <f>+D61/B61</f>
        <v>0.24</v>
      </c>
      <c r="E62" s="14">
        <f>+E61/B61</f>
        <v>0.28000000000000003</v>
      </c>
      <c r="F62" s="14"/>
      <c r="G62" s="14">
        <f>+(G61/F61)*0.35</f>
        <v>2.6657116841006506E-2</v>
      </c>
      <c r="H62" s="14">
        <f>+(H61/F61)*0.35</f>
        <v>7.0832422768561082E-2</v>
      </c>
      <c r="I62" s="14">
        <f>+(I61/F61)*0.35</f>
        <v>0.15683306682657072</v>
      </c>
      <c r="J62" s="14"/>
      <c r="K62" s="14">
        <f>+(K61/J61)*0.35</f>
        <v>5.317566962286123E-2</v>
      </c>
      <c r="L62" s="14">
        <f>+(L61/J61)*0.35</f>
        <v>6.3823344978948315E-2</v>
      </c>
      <c r="M62" s="14">
        <f>+(M61/J61)*0.35</f>
        <v>0.15429096121114394</v>
      </c>
    </row>
    <row r="64" spans="1:13" ht="15" customHeight="1" x14ac:dyDescent="0.2">
      <c r="A64" s="2" t="s">
        <v>14</v>
      </c>
      <c r="B64" s="2" t="s">
        <v>3</v>
      </c>
      <c r="C64" s="2" t="s">
        <v>55</v>
      </c>
      <c r="D64" s="2" t="s">
        <v>4</v>
      </c>
    </row>
    <row r="66" spans="1:4" ht="15" customHeight="1" x14ac:dyDescent="0.2">
      <c r="A66" s="1" t="s">
        <v>15</v>
      </c>
      <c r="B66" s="16">
        <f>+G62</f>
        <v>2.6657116841006506E-2</v>
      </c>
      <c r="C66" s="16">
        <f>+H62</f>
        <v>7.0832422768561082E-2</v>
      </c>
      <c r="D66" s="16">
        <f>+I62</f>
        <v>0.15683306682657072</v>
      </c>
    </row>
    <row r="67" spans="1:4" ht="15" customHeight="1" x14ac:dyDescent="0.2">
      <c r="A67" s="1" t="s">
        <v>16</v>
      </c>
      <c r="B67" s="16">
        <f>+K62</f>
        <v>5.317566962286123E-2</v>
      </c>
      <c r="C67" s="16">
        <f>+L62</f>
        <v>6.3823344978948315E-2</v>
      </c>
      <c r="D67" s="16">
        <f>+M62</f>
        <v>0.15429096121114394</v>
      </c>
    </row>
    <row r="68" spans="1:4" ht="15" customHeight="1" x14ac:dyDescent="0.2">
      <c r="A68" s="1" t="s">
        <v>17</v>
      </c>
      <c r="B68" s="16">
        <v>2.8899999999999999E-2</v>
      </c>
      <c r="C68" s="16">
        <v>6.9699999999999998E-2</v>
      </c>
      <c r="D68" s="16">
        <v>0.11749999999999999</v>
      </c>
    </row>
    <row r="69" spans="1:4" ht="15" customHeight="1" x14ac:dyDescent="0.2">
      <c r="A69" s="17" t="s">
        <v>12</v>
      </c>
      <c r="B69" s="14">
        <f>SUM(B66:B68)</f>
        <v>0.10873278646386773</v>
      </c>
      <c r="C69" s="14">
        <f>SUM(C66:C68)</f>
        <v>0.20435576774750941</v>
      </c>
      <c r="D69" s="14">
        <f>SUM(D66:D68)</f>
        <v>0.42862402803771465</v>
      </c>
    </row>
  </sheetData>
  <sortState ref="A14:M31">
    <sortCondition ref="A14:A31"/>
  </sortState>
  <mergeCells count="7">
    <mergeCell ref="F5:I5"/>
    <mergeCell ref="J5:M5"/>
    <mergeCell ref="F4:M4"/>
    <mergeCell ref="A1:M1"/>
    <mergeCell ref="A2:M2"/>
    <mergeCell ref="B4:E4"/>
    <mergeCell ref="B5:E5"/>
  </mergeCells>
  <phoneticPr fontId="2" type="noConversion"/>
  <printOptions horizontalCentered="1" gridLines="1"/>
  <pageMargins left="0.2" right="0.25" top="1" bottom="0.5" header="0.5" footer="0.25"/>
  <pageSetup scale="90" orientation="landscape" r:id="rId1"/>
  <headerFooter alignWithMargins="0">
    <oddHeader>&amp;C&amp;"Times New Roman,Bold"&amp;11AVAILABILITY ANALYSIS - 08-31-18&amp;REXHIBIT 5</oddHeader>
    <oddFooter>&amp;RUpdated: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opLeftCell="A91" zoomScaleNormal="100" workbookViewId="0">
      <selection activeCell="E124" sqref="E124"/>
    </sheetView>
  </sheetViews>
  <sheetFormatPr defaultColWidth="9.33203125" defaultRowHeight="15" customHeight="1" x14ac:dyDescent="0.2"/>
  <cols>
    <col min="1" max="1" width="41.6640625" style="1" customWidth="1"/>
    <col min="2" max="2" width="8.5" style="1" bestFit="1" customWidth="1"/>
    <col min="3" max="3" width="9.1640625" style="1" customWidth="1"/>
    <col min="4" max="4" width="9.5" style="1" customWidth="1"/>
    <col min="5" max="5" width="8.83203125" style="1" customWidth="1"/>
    <col min="6" max="6" width="8" style="1" customWidth="1"/>
    <col min="7" max="7" width="9.1640625" style="1" customWidth="1"/>
    <col min="8" max="8" width="8.33203125" style="1" customWidth="1"/>
    <col min="9" max="9" width="9.6640625" style="1" customWidth="1"/>
    <col min="10" max="10" width="8.6640625" style="1" bestFit="1" customWidth="1"/>
    <col min="11" max="11" width="9.1640625" style="1" customWidth="1"/>
    <col min="12" max="13" width="9.6640625" style="1" bestFit="1" customWidth="1"/>
    <col min="14" max="16384" width="9.33203125" style="1"/>
  </cols>
  <sheetData>
    <row r="1" spans="1:13" ht="15" customHeight="1" x14ac:dyDescent="0.2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5</v>
      </c>
      <c r="G5" s="46"/>
      <c r="H5" s="46"/>
      <c r="I5" s="46"/>
      <c r="J5" s="46" t="s">
        <v>19</v>
      </c>
      <c r="K5" s="46"/>
      <c r="L5" s="46"/>
      <c r="M5" s="46"/>
    </row>
    <row r="6" spans="1:13" s="4" customFormat="1" ht="15" customHeight="1" x14ac:dyDescent="0.2">
      <c r="A6" s="25" t="s">
        <v>1</v>
      </c>
      <c r="B6" s="3" t="s">
        <v>8</v>
      </c>
      <c r="C6" s="3" t="s">
        <v>3</v>
      </c>
      <c r="D6" s="3" t="s">
        <v>55</v>
      </c>
      <c r="E6" s="3" t="s">
        <v>4</v>
      </c>
      <c r="F6" s="3" t="s">
        <v>8</v>
      </c>
      <c r="G6" s="3" t="s">
        <v>3</v>
      </c>
      <c r="H6" s="3" t="s">
        <v>55</v>
      </c>
      <c r="I6" s="3" t="s">
        <v>4</v>
      </c>
      <c r="J6" s="3" t="s">
        <v>8</v>
      </c>
      <c r="K6" s="3" t="s">
        <v>3</v>
      </c>
      <c r="L6" s="3" t="s">
        <v>55</v>
      </c>
      <c r="M6" s="3" t="s">
        <v>4</v>
      </c>
    </row>
    <row r="7" spans="1:13" ht="63.75" x14ac:dyDescent="0.2">
      <c r="A7" s="15" t="s">
        <v>259</v>
      </c>
      <c r="B7" s="1">
        <f>SUM(B8:B36)</f>
        <v>201</v>
      </c>
      <c r="C7" s="1">
        <f>SUM(C8:C36)</f>
        <v>17</v>
      </c>
      <c r="D7" s="1">
        <f>SUM(D8:D36)</f>
        <v>23</v>
      </c>
      <c r="E7" s="1">
        <f>SUM(E8:E36)</f>
        <v>62</v>
      </c>
      <c r="F7" s="1">
        <v>6825</v>
      </c>
      <c r="G7" s="1">
        <v>629</v>
      </c>
      <c r="H7" s="1">
        <v>1334</v>
      </c>
      <c r="I7" s="1">
        <v>2365</v>
      </c>
      <c r="J7" s="1">
        <v>1940</v>
      </c>
      <c r="K7" s="1">
        <v>139</v>
      </c>
      <c r="L7" s="1">
        <v>279</v>
      </c>
      <c r="M7" s="1">
        <v>525</v>
      </c>
    </row>
    <row r="8" spans="1:13" ht="12.75" x14ac:dyDescent="0.2">
      <c r="A8" s="31" t="s">
        <v>491</v>
      </c>
      <c r="B8" s="1">
        <v>1</v>
      </c>
    </row>
    <row r="9" spans="1:13" ht="15" customHeight="1" x14ac:dyDescent="0.2">
      <c r="A9" s="7" t="s">
        <v>175</v>
      </c>
      <c r="B9" s="6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301</v>
      </c>
      <c r="B10" s="6">
        <v>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184</v>
      </c>
      <c r="B11" s="6">
        <v>4</v>
      </c>
      <c r="C11" s="6"/>
      <c r="D11" s="6"/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7" t="s">
        <v>176</v>
      </c>
      <c r="B12" s="6">
        <v>3</v>
      </c>
      <c r="C12" s="6"/>
      <c r="D12" s="6">
        <v>1</v>
      </c>
      <c r="E12" s="6">
        <v>3</v>
      </c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7" t="s">
        <v>141</v>
      </c>
      <c r="B13" s="6">
        <v>10</v>
      </c>
      <c r="C13" s="6"/>
      <c r="D13" s="6"/>
      <c r="E13" s="6">
        <v>4</v>
      </c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">
      <c r="A14" s="7" t="s">
        <v>172</v>
      </c>
      <c r="B14" s="6">
        <v>4</v>
      </c>
      <c r="C14" s="6"/>
      <c r="D14" s="6"/>
      <c r="E14" s="6">
        <v>1</v>
      </c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7" t="s">
        <v>185</v>
      </c>
      <c r="B15" s="6">
        <v>3</v>
      </c>
      <c r="C15" s="6"/>
      <c r="D15" s="6"/>
      <c r="E15" s="6">
        <v>1</v>
      </c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2">
      <c r="A16" s="7" t="s">
        <v>173</v>
      </c>
      <c r="B16" s="6">
        <v>6</v>
      </c>
      <c r="C16" s="6">
        <v>1</v>
      </c>
      <c r="D16" s="6">
        <v>1</v>
      </c>
      <c r="E16" s="6"/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2">
      <c r="A17" s="7" t="s">
        <v>187</v>
      </c>
      <c r="B17" s="6">
        <v>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7" t="s">
        <v>136</v>
      </c>
      <c r="B18" s="6">
        <v>2</v>
      </c>
      <c r="C18" s="6"/>
      <c r="D18" s="6"/>
      <c r="E18" s="6">
        <v>1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7" t="s">
        <v>304</v>
      </c>
      <c r="B19" s="6">
        <v>2</v>
      </c>
      <c r="C19" s="6"/>
      <c r="D19" s="6"/>
      <c r="E19" s="6">
        <v>2</v>
      </c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2">
      <c r="A20" s="7" t="s">
        <v>202</v>
      </c>
      <c r="B20" s="6">
        <v>3</v>
      </c>
      <c r="C20" s="6"/>
      <c r="D20" s="6"/>
      <c r="E20" s="6">
        <v>1</v>
      </c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7" t="s">
        <v>169</v>
      </c>
      <c r="B21" s="6">
        <v>13</v>
      </c>
      <c r="C21" s="6">
        <v>3</v>
      </c>
      <c r="D21" s="6">
        <v>4</v>
      </c>
      <c r="E21" s="6">
        <v>7</v>
      </c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7" t="s">
        <v>135</v>
      </c>
      <c r="B22" s="6">
        <v>31</v>
      </c>
      <c r="C22" s="6">
        <v>2</v>
      </c>
      <c r="D22" s="6">
        <v>4</v>
      </c>
      <c r="E22" s="6">
        <v>11</v>
      </c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7" t="s">
        <v>140</v>
      </c>
      <c r="B23" s="6">
        <v>12</v>
      </c>
      <c r="C23" s="6">
        <v>1</v>
      </c>
      <c r="D23" s="6">
        <v>1</v>
      </c>
      <c r="E23" s="6">
        <v>4</v>
      </c>
      <c r="F23" s="6"/>
      <c r="G23" s="6"/>
      <c r="H23" s="6"/>
      <c r="I23" s="6"/>
      <c r="J23" s="6"/>
      <c r="K23" s="6"/>
      <c r="L23" s="6"/>
      <c r="M23" s="6"/>
    </row>
    <row r="24" spans="1:13" ht="15" customHeight="1" x14ac:dyDescent="0.2">
      <c r="A24" s="7" t="s">
        <v>253</v>
      </c>
      <c r="B24" s="6">
        <v>17</v>
      </c>
      <c r="C24" s="6">
        <v>3</v>
      </c>
      <c r="D24" s="6">
        <v>5</v>
      </c>
      <c r="E24" s="6">
        <v>5</v>
      </c>
      <c r="F24" s="6"/>
      <c r="G24" s="6"/>
      <c r="H24" s="6"/>
      <c r="I24" s="6"/>
      <c r="J24" s="6"/>
      <c r="K24" s="6"/>
      <c r="L24" s="6"/>
      <c r="M24" s="6"/>
    </row>
    <row r="25" spans="1:13" ht="15" customHeight="1" x14ac:dyDescent="0.2">
      <c r="A25" s="7" t="s">
        <v>305</v>
      </c>
      <c r="B25" s="6">
        <v>11</v>
      </c>
      <c r="C25" s="6"/>
      <c r="D25" s="6"/>
      <c r="E25" s="6">
        <v>3</v>
      </c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">
      <c r="A26" s="7" t="s">
        <v>178</v>
      </c>
      <c r="B26" s="6">
        <v>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5" customHeight="1" x14ac:dyDescent="0.2">
      <c r="A27" s="7" t="s">
        <v>359</v>
      </c>
      <c r="B27" s="6">
        <v>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5" customHeight="1" x14ac:dyDescent="0.2">
      <c r="A28" s="7" t="s">
        <v>170</v>
      </c>
      <c r="B28" s="6">
        <v>10</v>
      </c>
      <c r="C28" s="6">
        <v>1</v>
      </c>
      <c r="D28" s="6">
        <v>1</v>
      </c>
      <c r="E28" s="6">
        <v>7</v>
      </c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7" t="s">
        <v>137</v>
      </c>
      <c r="B29" s="6">
        <v>16</v>
      </c>
      <c r="C29" s="6">
        <v>4</v>
      </c>
      <c r="D29" s="6">
        <v>4</v>
      </c>
      <c r="E29" s="6">
        <v>5</v>
      </c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7" t="s">
        <v>142</v>
      </c>
      <c r="B30" s="6">
        <v>11</v>
      </c>
      <c r="C30" s="6">
        <v>1</v>
      </c>
      <c r="D30" s="6">
        <v>1</v>
      </c>
      <c r="E30" s="6">
        <v>3</v>
      </c>
      <c r="F30" s="6"/>
      <c r="G30" s="6"/>
      <c r="H30" s="6"/>
      <c r="I30" s="6"/>
      <c r="J30" s="6"/>
      <c r="K30" s="6"/>
      <c r="L30" s="6"/>
      <c r="M30" s="6"/>
    </row>
    <row r="31" spans="1:13" ht="15" customHeight="1" x14ac:dyDescent="0.2">
      <c r="A31" s="7" t="s">
        <v>188</v>
      </c>
      <c r="B31" s="6">
        <v>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7" t="s">
        <v>138</v>
      </c>
      <c r="B32" s="6">
        <v>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7" t="s">
        <v>174</v>
      </c>
      <c r="B33" s="6">
        <v>22</v>
      </c>
      <c r="C33" s="6">
        <v>1</v>
      </c>
      <c r="D33" s="6">
        <v>1</v>
      </c>
      <c r="E33" s="6">
        <v>2</v>
      </c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7" t="s">
        <v>189</v>
      </c>
      <c r="B34" s="6">
        <v>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203</v>
      </c>
      <c r="B35" s="6">
        <v>2</v>
      </c>
      <c r="C35" s="6"/>
      <c r="D35" s="6"/>
      <c r="E35" s="6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7" t="s">
        <v>191</v>
      </c>
      <c r="B36" s="6">
        <v>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8" t="s">
        <v>13</v>
      </c>
      <c r="B37" s="14"/>
      <c r="C37" s="14">
        <f>+C7/B7</f>
        <v>8.45771144278607E-2</v>
      </c>
      <c r="D37" s="14">
        <f>+D7/B7</f>
        <v>0.11442786069651742</v>
      </c>
      <c r="E37" s="14">
        <f>+E7/B7</f>
        <v>0.30845771144278605</v>
      </c>
      <c r="F37" s="14"/>
      <c r="G37" s="14">
        <f>+(G7/F7)*0.4</f>
        <v>3.6864468864468862E-2</v>
      </c>
      <c r="H37" s="14">
        <f>+(H7/F7)*0.4</f>
        <v>7.8183150183150196E-2</v>
      </c>
      <c r="I37" s="14">
        <f>+(I7/F7)*0.4</f>
        <v>0.13860805860805861</v>
      </c>
      <c r="J37" s="14"/>
      <c r="K37" s="14">
        <f>+(K7/J7)*0.4</f>
        <v>2.8659793814432989E-2</v>
      </c>
      <c r="L37" s="14">
        <f>+(L7/J7)*0.4</f>
        <v>5.752577319587629E-2</v>
      </c>
      <c r="M37" s="14">
        <f>+(M7/J7)*0.4</f>
        <v>0.10824742268041238</v>
      </c>
    </row>
    <row r="38" spans="1:13" ht="15" customHeight="1" x14ac:dyDescent="0.2">
      <c r="A38" s="18" t="s">
        <v>139</v>
      </c>
      <c r="B38" s="1">
        <f>SUM(B39:B55)</f>
        <v>36</v>
      </c>
      <c r="C38" s="1">
        <f t="shared" ref="C38:E38" si="0">SUM(C39:C55)</f>
        <v>2</v>
      </c>
      <c r="D38" s="1">
        <f t="shared" si="0"/>
        <v>3</v>
      </c>
      <c r="E38" s="1">
        <f t="shared" si="0"/>
        <v>6</v>
      </c>
      <c r="F38" s="6">
        <v>3120</v>
      </c>
      <c r="G38" s="6">
        <v>260</v>
      </c>
      <c r="H38" s="6">
        <v>539</v>
      </c>
      <c r="I38" s="6">
        <v>400</v>
      </c>
      <c r="J38" s="6">
        <v>2640</v>
      </c>
      <c r="K38" s="6">
        <v>260</v>
      </c>
      <c r="L38" s="6">
        <v>505</v>
      </c>
      <c r="M38" s="6">
        <v>285</v>
      </c>
    </row>
    <row r="39" spans="1:13" ht="15" customHeight="1" x14ac:dyDescent="0.2">
      <c r="A39" s="7" t="s">
        <v>492</v>
      </c>
      <c r="B39" s="6">
        <v>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171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176</v>
      </c>
      <c r="B41" s="6">
        <v>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7" t="s">
        <v>177</v>
      </c>
      <c r="B42" s="6">
        <v>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" customHeight="1" x14ac:dyDescent="0.2">
      <c r="A43" s="7" t="s">
        <v>136</v>
      </c>
      <c r="B43" s="6">
        <v>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5" customHeight="1" x14ac:dyDescent="0.2">
      <c r="A44" s="7" t="s">
        <v>169</v>
      </c>
      <c r="B44" s="6">
        <v>4</v>
      </c>
      <c r="C44" s="6">
        <v>1</v>
      </c>
      <c r="D44" s="6">
        <v>1</v>
      </c>
      <c r="E44" s="6">
        <v>1</v>
      </c>
      <c r="F44" s="6"/>
      <c r="G44" s="6"/>
      <c r="H44" s="6"/>
      <c r="I44" s="6"/>
      <c r="J44" s="6"/>
      <c r="K44" s="6"/>
      <c r="L44" s="6"/>
      <c r="M44" s="6"/>
    </row>
    <row r="45" spans="1:13" ht="15" customHeight="1" x14ac:dyDescent="0.2">
      <c r="A45" s="7" t="s">
        <v>135</v>
      </c>
      <c r="B45" s="6">
        <v>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5" customHeight="1" x14ac:dyDescent="0.2">
      <c r="A46" s="7" t="s">
        <v>140</v>
      </c>
      <c r="B46" s="6">
        <v>5</v>
      </c>
      <c r="C46" s="6">
        <v>1</v>
      </c>
      <c r="D46" s="6">
        <v>1</v>
      </c>
      <c r="E46" s="6">
        <v>2</v>
      </c>
      <c r="F46" s="6"/>
      <c r="G46" s="6"/>
      <c r="H46" s="6"/>
      <c r="I46" s="6"/>
      <c r="J46" s="6"/>
      <c r="K46" s="6"/>
      <c r="L46" s="6"/>
      <c r="M46" s="6"/>
    </row>
    <row r="47" spans="1:13" ht="15" customHeight="1" x14ac:dyDescent="0.2">
      <c r="A47" s="7" t="s">
        <v>305</v>
      </c>
      <c r="B47" s="6">
        <v>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5" customHeight="1" x14ac:dyDescent="0.2">
      <c r="A48" s="7" t="s">
        <v>204</v>
      </c>
      <c r="B48" s="6">
        <v>4</v>
      </c>
      <c r="C48" s="6"/>
      <c r="D48" s="6">
        <v>1</v>
      </c>
      <c r="E48" s="6">
        <v>1</v>
      </c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7" t="s">
        <v>178</v>
      </c>
      <c r="B49" s="6">
        <v>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7" t="s">
        <v>179</v>
      </c>
      <c r="B50" s="6">
        <v>3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7" t="s">
        <v>190</v>
      </c>
      <c r="B51" s="6">
        <v>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359</v>
      </c>
      <c r="B52" s="6">
        <v>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7" t="s">
        <v>137</v>
      </c>
      <c r="B53" s="6">
        <v>2</v>
      </c>
      <c r="C53" s="6"/>
      <c r="D53" s="6"/>
      <c r="E53" s="6">
        <v>1</v>
      </c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142</v>
      </c>
      <c r="B54" s="6">
        <v>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239</v>
      </c>
      <c r="B55" s="6">
        <v>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8" t="s">
        <v>13</v>
      </c>
      <c r="B56" s="10"/>
      <c r="C56" s="10">
        <f>+C38/B38</f>
        <v>5.5555555555555552E-2</v>
      </c>
      <c r="D56" s="10">
        <f>+D38/B38</f>
        <v>8.3333333333333329E-2</v>
      </c>
      <c r="E56" s="10">
        <f>+E38/B38</f>
        <v>0.16666666666666666</v>
      </c>
      <c r="F56" s="10"/>
      <c r="G56" s="14">
        <f>+(G38/F38)*0.4</f>
        <v>3.3333333333333333E-2</v>
      </c>
      <c r="H56" s="14">
        <f>+(H38/F38)*0.4</f>
        <v>6.9102564102564101E-2</v>
      </c>
      <c r="I56" s="14">
        <f>+(I38/F38)*0.4</f>
        <v>5.128205128205128E-2</v>
      </c>
      <c r="J56" s="14"/>
      <c r="K56" s="14">
        <f>+(K38/J38)*0.4</f>
        <v>3.9393939393939398E-2</v>
      </c>
      <c r="L56" s="14">
        <f>+(L38/J38)*0.4</f>
        <v>7.6515151515151522E-2</v>
      </c>
      <c r="M56" s="14">
        <f>+(M38/J38)*0.4</f>
        <v>4.3181818181818182E-2</v>
      </c>
    </row>
    <row r="57" spans="1:13" ht="25.5" customHeight="1" x14ac:dyDescent="0.2">
      <c r="A57" s="15" t="s">
        <v>261</v>
      </c>
      <c r="B57" s="6">
        <f>SUM(B58:B70)</f>
        <v>33</v>
      </c>
      <c r="C57" s="6">
        <f>SUM(C58:C70)</f>
        <v>0</v>
      </c>
      <c r="D57" s="6">
        <f>SUM(D58:D70)</f>
        <v>4</v>
      </c>
      <c r="E57" s="6">
        <f>SUM(E58:E70)</f>
        <v>12</v>
      </c>
      <c r="F57" s="6">
        <v>5270</v>
      </c>
      <c r="G57" s="6">
        <v>604</v>
      </c>
      <c r="H57" s="6">
        <v>939</v>
      </c>
      <c r="I57" s="6">
        <v>1785</v>
      </c>
      <c r="J57" s="6">
        <v>1580</v>
      </c>
      <c r="K57" s="6">
        <v>129</v>
      </c>
      <c r="L57" s="6">
        <v>244</v>
      </c>
      <c r="M57" s="6">
        <v>470</v>
      </c>
    </row>
    <row r="58" spans="1:13" ht="15" customHeight="1" x14ac:dyDescent="0.2">
      <c r="A58" s="32" t="s">
        <v>201</v>
      </c>
      <c r="B58" s="6">
        <v>1</v>
      </c>
      <c r="C58" s="6"/>
      <c r="D58" s="6"/>
      <c r="E58" s="6">
        <v>1</v>
      </c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32" t="s">
        <v>184</v>
      </c>
      <c r="B59" s="6">
        <v>1</v>
      </c>
      <c r="C59" s="6"/>
      <c r="D59" s="6">
        <v>1</v>
      </c>
      <c r="E59" s="6">
        <v>1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32" t="s">
        <v>176</v>
      </c>
      <c r="B60" s="6">
        <v>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5" customHeight="1" x14ac:dyDescent="0.2">
      <c r="A61" s="32" t="s">
        <v>141</v>
      </c>
      <c r="B61" s="6">
        <v>3</v>
      </c>
      <c r="C61" s="6"/>
      <c r="D61" s="6"/>
      <c r="E61" s="6">
        <v>1</v>
      </c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32" t="s">
        <v>185</v>
      </c>
      <c r="B62" s="6">
        <v>1</v>
      </c>
      <c r="C62" s="6"/>
      <c r="D62" s="6"/>
      <c r="E62" s="6">
        <v>1</v>
      </c>
      <c r="F62" s="6"/>
      <c r="G62" s="6"/>
      <c r="H62" s="6"/>
      <c r="I62" s="6"/>
      <c r="J62" s="6"/>
      <c r="K62" s="6"/>
      <c r="L62" s="6"/>
      <c r="M62" s="6"/>
    </row>
    <row r="63" spans="1:13" ht="15" customHeight="1" x14ac:dyDescent="0.2">
      <c r="A63" s="32" t="s">
        <v>169</v>
      </c>
      <c r="B63" s="6">
        <v>1</v>
      </c>
      <c r="C63" s="6"/>
      <c r="D63" s="6"/>
      <c r="E63" s="6">
        <v>1</v>
      </c>
      <c r="F63" s="6"/>
      <c r="G63" s="6"/>
      <c r="H63" s="6"/>
      <c r="I63" s="6"/>
      <c r="J63" s="6"/>
      <c r="K63" s="6"/>
      <c r="L63" s="6"/>
      <c r="M63" s="6"/>
    </row>
    <row r="64" spans="1:13" ht="15" customHeight="1" x14ac:dyDescent="0.2">
      <c r="A64" s="7" t="s">
        <v>135</v>
      </c>
      <c r="B64" s="6">
        <v>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5" customHeight="1" x14ac:dyDescent="0.2">
      <c r="A65" s="7" t="s">
        <v>140</v>
      </c>
      <c r="B65" s="6">
        <v>6</v>
      </c>
      <c r="C65" s="6"/>
      <c r="D65" s="6"/>
      <c r="E65" s="6">
        <v>4</v>
      </c>
      <c r="F65" s="6"/>
      <c r="G65" s="6"/>
      <c r="H65" s="6"/>
      <c r="I65" s="6"/>
      <c r="J65" s="6"/>
      <c r="K65" s="6"/>
      <c r="L65" s="6"/>
      <c r="M65" s="6"/>
    </row>
    <row r="66" spans="1:13" ht="15" customHeight="1" x14ac:dyDescent="0.2">
      <c r="A66" s="7" t="s">
        <v>305</v>
      </c>
      <c r="B66" s="6">
        <v>1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5" customHeight="1" x14ac:dyDescent="0.2">
      <c r="A67" s="7" t="s">
        <v>170</v>
      </c>
      <c r="B67" s="6">
        <v>5</v>
      </c>
      <c r="C67" s="6"/>
      <c r="D67" s="6"/>
      <c r="E67" s="6">
        <v>1</v>
      </c>
      <c r="F67" s="6"/>
      <c r="G67" s="6"/>
      <c r="H67" s="6"/>
      <c r="I67" s="6"/>
      <c r="J67" s="6"/>
      <c r="K67" s="6"/>
      <c r="L67" s="6"/>
      <c r="M67" s="6"/>
    </row>
    <row r="68" spans="1:13" ht="15" customHeight="1" x14ac:dyDescent="0.2">
      <c r="A68" s="7" t="s">
        <v>137</v>
      </c>
      <c r="B68" s="6">
        <v>4</v>
      </c>
      <c r="C68" s="6"/>
      <c r="D68" s="6">
        <v>2</v>
      </c>
      <c r="E68" s="6">
        <v>2</v>
      </c>
      <c r="F68" s="6"/>
      <c r="G68" s="6"/>
      <c r="H68" s="6"/>
      <c r="I68" s="6"/>
      <c r="J68" s="6"/>
      <c r="K68" s="6"/>
      <c r="L68" s="6"/>
      <c r="M68" s="6"/>
    </row>
    <row r="69" spans="1:13" ht="15" customHeight="1" x14ac:dyDescent="0.2">
      <c r="A69" s="7" t="s">
        <v>142</v>
      </c>
      <c r="B69" s="6">
        <v>5</v>
      </c>
      <c r="C69" s="6"/>
      <c r="D69" s="6">
        <v>1</v>
      </c>
      <c r="E69" s="6"/>
      <c r="F69" s="6"/>
      <c r="G69" s="6"/>
      <c r="H69" s="6"/>
      <c r="I69" s="6"/>
      <c r="J69" s="6"/>
      <c r="K69" s="6"/>
      <c r="L69" s="6"/>
      <c r="M69" s="6"/>
    </row>
    <row r="70" spans="1:13" ht="15" customHeight="1" x14ac:dyDescent="0.2">
      <c r="A70" s="7" t="s">
        <v>174</v>
      </c>
      <c r="B70" s="6">
        <v>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5" customHeight="1" x14ac:dyDescent="0.2">
      <c r="A71" s="8" t="s">
        <v>13</v>
      </c>
      <c r="B71" s="14"/>
      <c r="C71" s="14">
        <f>+C57/B57</f>
        <v>0</v>
      </c>
      <c r="D71" s="14">
        <f>+D57/B57</f>
        <v>0.12121212121212122</v>
      </c>
      <c r="E71" s="14">
        <f>+E57/B57</f>
        <v>0.36363636363636365</v>
      </c>
      <c r="F71" s="14"/>
      <c r="G71" s="14">
        <f>+(G57/F57)*0.4</f>
        <v>4.5844402277039849E-2</v>
      </c>
      <c r="H71" s="14">
        <f>+(H57/F57)*0.4</f>
        <v>7.1271347248576852E-2</v>
      </c>
      <c r="I71" s="14">
        <f>+(I57/F57)*0.4</f>
        <v>0.13548387096774192</v>
      </c>
      <c r="J71" s="14"/>
      <c r="K71" s="14">
        <f>+(K57/J57)*0.4</f>
        <v>3.2658227848101268E-2</v>
      </c>
      <c r="L71" s="14">
        <f>+(L57/J57)*0.4</f>
        <v>6.1772151898734175E-2</v>
      </c>
      <c r="M71" s="14">
        <f>+(M57/J57)*0.4</f>
        <v>0.11898734177215189</v>
      </c>
    </row>
    <row r="72" spans="1:13" ht="38.25" x14ac:dyDescent="0.2">
      <c r="A72" s="15" t="s">
        <v>260</v>
      </c>
      <c r="B72" s="6">
        <f>SUM(B73:B78)</f>
        <v>8</v>
      </c>
      <c r="C72" s="6">
        <f>SUM(C73:C78)</f>
        <v>0</v>
      </c>
      <c r="D72" s="6">
        <f>SUM(D73:D78)</f>
        <v>0</v>
      </c>
      <c r="E72" s="6">
        <f>SUM(E73:E78)</f>
        <v>5</v>
      </c>
      <c r="F72" s="6">
        <v>15125</v>
      </c>
      <c r="G72" s="6">
        <v>2320</v>
      </c>
      <c r="H72" s="6">
        <v>2688</v>
      </c>
      <c r="I72" s="6">
        <v>8960</v>
      </c>
      <c r="J72" s="6">
        <v>1400</v>
      </c>
      <c r="K72" s="6">
        <v>250</v>
      </c>
      <c r="L72" s="6">
        <v>275</v>
      </c>
      <c r="M72" s="6">
        <v>705</v>
      </c>
    </row>
    <row r="73" spans="1:13" ht="15" customHeight="1" x14ac:dyDescent="0.2">
      <c r="A73" s="7" t="s">
        <v>169</v>
      </c>
      <c r="B73" s="6">
        <v>1</v>
      </c>
      <c r="C73" s="6"/>
      <c r="D73" s="6"/>
      <c r="E73" s="6">
        <v>1</v>
      </c>
      <c r="F73" s="6"/>
      <c r="G73" s="6"/>
      <c r="H73" s="6"/>
      <c r="I73" s="6"/>
      <c r="J73" s="6"/>
      <c r="K73" s="6"/>
      <c r="L73" s="6"/>
      <c r="M73" s="6"/>
    </row>
    <row r="74" spans="1:13" ht="15" customHeight="1" x14ac:dyDescent="0.2">
      <c r="A74" s="7" t="s">
        <v>135</v>
      </c>
      <c r="B74" s="6">
        <v>2</v>
      </c>
      <c r="C74" s="6"/>
      <c r="D74" s="6"/>
      <c r="E74" s="6">
        <v>2</v>
      </c>
      <c r="F74" s="6"/>
      <c r="G74" s="6"/>
      <c r="H74" s="6"/>
      <c r="I74" s="6"/>
      <c r="J74" s="6"/>
      <c r="K74" s="6"/>
      <c r="L74" s="6"/>
      <c r="M74" s="6"/>
    </row>
    <row r="75" spans="1:13" ht="15" customHeight="1" x14ac:dyDescent="0.2">
      <c r="A75" s="7" t="s">
        <v>170</v>
      </c>
      <c r="B75" s="6">
        <v>1</v>
      </c>
      <c r="C75" s="6"/>
      <c r="D75" s="6"/>
      <c r="E75" s="6">
        <v>1</v>
      </c>
      <c r="F75" s="6"/>
      <c r="G75" s="6"/>
      <c r="H75" s="6"/>
      <c r="I75" s="6"/>
      <c r="J75" s="6"/>
      <c r="K75" s="6"/>
      <c r="L75" s="6"/>
      <c r="M75" s="6"/>
    </row>
    <row r="76" spans="1:13" ht="15" customHeight="1" x14ac:dyDescent="0.2">
      <c r="A76" s="7" t="s">
        <v>142</v>
      </c>
      <c r="B76" s="6">
        <v>1</v>
      </c>
      <c r="C76" s="6"/>
      <c r="D76" s="6"/>
      <c r="E76" s="6">
        <v>1</v>
      </c>
      <c r="F76" s="6"/>
      <c r="G76" s="6"/>
      <c r="H76" s="6"/>
      <c r="I76" s="6"/>
      <c r="J76" s="6"/>
      <c r="K76" s="6"/>
      <c r="L76" s="6"/>
      <c r="M76" s="6"/>
    </row>
    <row r="77" spans="1:13" ht="15" customHeight="1" x14ac:dyDescent="0.2">
      <c r="A77" s="7" t="s">
        <v>174</v>
      </c>
      <c r="B77" s="6">
        <v>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5" customHeight="1" x14ac:dyDescent="0.2">
      <c r="A78" s="7" t="s">
        <v>189</v>
      </c>
      <c r="B78" s="6">
        <v>1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5" customHeight="1" x14ac:dyDescent="0.2">
      <c r="A79" s="8" t="s">
        <v>13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ht="15" customHeight="1" x14ac:dyDescent="0.2">
      <c r="A80" s="18" t="s">
        <v>50</v>
      </c>
      <c r="B80" s="6">
        <f>SUM(B81:B97)</f>
        <v>63</v>
      </c>
      <c r="C80" s="6">
        <f>SUM(C81:C97)</f>
        <v>1</v>
      </c>
      <c r="D80" s="6">
        <f>SUM(D81:D97)</f>
        <v>15</v>
      </c>
      <c r="E80" s="6">
        <f>SUM(E81:E97)</f>
        <v>21</v>
      </c>
      <c r="F80" s="6">
        <v>1120</v>
      </c>
      <c r="G80" s="6">
        <v>25</v>
      </c>
      <c r="H80" s="6">
        <v>385</v>
      </c>
      <c r="I80" s="6">
        <v>460</v>
      </c>
      <c r="J80" s="6">
        <v>195</v>
      </c>
      <c r="K80" s="6">
        <v>10</v>
      </c>
      <c r="L80" s="6">
        <v>35</v>
      </c>
      <c r="M80" s="6">
        <v>50</v>
      </c>
    </row>
    <row r="81" spans="1:13" ht="15" customHeight="1" x14ac:dyDescent="0.2">
      <c r="A81" s="7" t="s">
        <v>172</v>
      </c>
      <c r="B81" s="6">
        <v>2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5" customHeight="1" x14ac:dyDescent="0.2">
      <c r="A82" s="7" t="s">
        <v>173</v>
      </c>
      <c r="B82" s="6">
        <v>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5" customHeight="1" x14ac:dyDescent="0.2">
      <c r="A83" s="7" t="s">
        <v>186</v>
      </c>
      <c r="B83" s="6">
        <v>3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15" customHeight="1" x14ac:dyDescent="0.2">
      <c r="A84" s="7" t="s">
        <v>169</v>
      </c>
      <c r="B84" s="6">
        <v>9</v>
      </c>
      <c r="C84" s="6"/>
      <c r="D84" s="6">
        <v>2</v>
      </c>
      <c r="E84" s="6">
        <v>6</v>
      </c>
      <c r="F84" s="6"/>
      <c r="G84" s="6"/>
      <c r="H84" s="6"/>
      <c r="I84" s="6"/>
      <c r="J84" s="6"/>
      <c r="K84" s="6"/>
      <c r="L84" s="6"/>
      <c r="M84" s="6"/>
    </row>
    <row r="85" spans="1:13" ht="15" customHeight="1" x14ac:dyDescent="0.2">
      <c r="A85" s="7" t="s">
        <v>135</v>
      </c>
      <c r="B85" s="6">
        <v>8</v>
      </c>
      <c r="C85" s="6"/>
      <c r="D85" s="6">
        <v>2</v>
      </c>
      <c r="E85" s="6">
        <v>4</v>
      </c>
      <c r="F85" s="6"/>
      <c r="G85" s="6"/>
      <c r="H85" s="6"/>
      <c r="I85" s="6"/>
      <c r="J85" s="6"/>
      <c r="K85" s="6"/>
      <c r="L85" s="6"/>
      <c r="M85" s="6"/>
    </row>
    <row r="86" spans="1:13" ht="15" customHeight="1" x14ac:dyDescent="0.2">
      <c r="A86" s="7" t="s">
        <v>140</v>
      </c>
      <c r="B86" s="6">
        <v>12</v>
      </c>
      <c r="C86" s="6"/>
      <c r="D86" s="6">
        <v>3</v>
      </c>
      <c r="E86" s="6">
        <v>4</v>
      </c>
      <c r="F86" s="6"/>
      <c r="G86" s="6"/>
      <c r="H86" s="6"/>
      <c r="I86" s="6"/>
      <c r="J86" s="6"/>
      <c r="K86" s="6"/>
      <c r="L86" s="6"/>
      <c r="M86" s="6"/>
    </row>
    <row r="87" spans="1:13" ht="15" customHeight="1" x14ac:dyDescent="0.2">
      <c r="A87" s="7" t="s">
        <v>253</v>
      </c>
      <c r="B87" s="6">
        <v>4</v>
      </c>
      <c r="C87" s="6"/>
      <c r="D87" s="6">
        <v>2</v>
      </c>
      <c r="E87" s="6">
        <v>3</v>
      </c>
      <c r="F87" s="6"/>
      <c r="G87" s="6"/>
      <c r="H87" s="6"/>
      <c r="I87" s="6"/>
      <c r="J87" s="6"/>
      <c r="K87" s="6"/>
      <c r="L87" s="6"/>
      <c r="M87" s="6"/>
    </row>
    <row r="88" spans="1:13" ht="15" customHeight="1" x14ac:dyDescent="0.2">
      <c r="A88" s="7" t="s">
        <v>305</v>
      </c>
      <c r="B88" s="6">
        <v>1</v>
      </c>
      <c r="C88" s="6"/>
      <c r="D88" s="6">
        <v>1</v>
      </c>
      <c r="E88" s="6">
        <v>1</v>
      </c>
      <c r="F88" s="6"/>
      <c r="G88" s="6"/>
      <c r="H88" s="6"/>
      <c r="I88" s="6"/>
      <c r="J88" s="6"/>
      <c r="K88" s="6"/>
      <c r="L88" s="6"/>
      <c r="M88" s="6"/>
    </row>
    <row r="89" spans="1:13" ht="15" customHeight="1" x14ac:dyDescent="0.2">
      <c r="A89" s="7" t="s">
        <v>204</v>
      </c>
      <c r="B89" s="6">
        <v>1</v>
      </c>
      <c r="C89" s="6"/>
      <c r="D89" s="6">
        <v>1</v>
      </c>
      <c r="E89" s="6"/>
      <c r="F89" s="6"/>
      <c r="G89" s="6"/>
      <c r="H89" s="6"/>
      <c r="I89" s="6"/>
      <c r="J89" s="6"/>
      <c r="K89" s="6"/>
      <c r="L89" s="6"/>
      <c r="M89" s="6"/>
    </row>
    <row r="90" spans="1:13" ht="15" customHeight="1" x14ac:dyDescent="0.2">
      <c r="A90" s="7" t="s">
        <v>178</v>
      </c>
      <c r="B90" s="6">
        <v>2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ht="15" customHeight="1" x14ac:dyDescent="0.2">
      <c r="A91" s="7" t="s">
        <v>179</v>
      </c>
      <c r="B91" s="6">
        <v>1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15" customHeight="1" x14ac:dyDescent="0.2">
      <c r="A92" s="7" t="s">
        <v>359</v>
      </c>
      <c r="B92" s="6">
        <v>2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15" customHeight="1" x14ac:dyDescent="0.2">
      <c r="A93" s="7" t="s">
        <v>170</v>
      </c>
      <c r="B93" s="6">
        <v>5</v>
      </c>
      <c r="C93" s="6"/>
      <c r="D93" s="6">
        <v>2</v>
      </c>
      <c r="E93" s="6">
        <v>1</v>
      </c>
      <c r="F93" s="6"/>
      <c r="G93" s="6"/>
      <c r="H93" s="6"/>
      <c r="I93" s="6"/>
      <c r="J93" s="6"/>
      <c r="K93" s="6"/>
      <c r="L93" s="6"/>
      <c r="M93" s="6"/>
    </row>
    <row r="94" spans="1:13" ht="15" customHeight="1" x14ac:dyDescent="0.2">
      <c r="A94" s="7" t="s">
        <v>137</v>
      </c>
      <c r="B94" s="6">
        <v>5</v>
      </c>
      <c r="C94" s="6">
        <v>1</v>
      </c>
      <c r="D94" s="6">
        <v>1</v>
      </c>
      <c r="E94" s="6"/>
      <c r="F94" s="6"/>
      <c r="G94" s="6"/>
      <c r="H94" s="6"/>
      <c r="I94" s="6"/>
      <c r="J94" s="6"/>
      <c r="K94" s="6"/>
      <c r="L94" s="6"/>
      <c r="M94" s="6"/>
    </row>
    <row r="95" spans="1:13" ht="15" customHeight="1" x14ac:dyDescent="0.2">
      <c r="A95" s="7" t="s">
        <v>142</v>
      </c>
      <c r="B95" s="6">
        <v>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ht="15" customHeight="1" x14ac:dyDescent="0.2">
      <c r="A96" s="7" t="s">
        <v>138</v>
      </c>
      <c r="B96" s="6">
        <v>2</v>
      </c>
      <c r="C96" s="6"/>
      <c r="D96" s="6">
        <v>1</v>
      </c>
      <c r="E96" s="6">
        <v>2</v>
      </c>
      <c r="F96" s="6"/>
      <c r="G96" s="6"/>
      <c r="H96" s="6"/>
      <c r="I96" s="6"/>
      <c r="J96" s="6"/>
      <c r="K96" s="6"/>
      <c r="L96" s="6"/>
      <c r="M96" s="6"/>
    </row>
    <row r="97" spans="1:13" ht="15" customHeight="1" x14ac:dyDescent="0.2">
      <c r="A97" s="7" t="s">
        <v>174</v>
      </c>
      <c r="B97" s="6">
        <v>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ht="15" customHeight="1" x14ac:dyDescent="0.2">
      <c r="A98" s="8" t="s">
        <v>13</v>
      </c>
      <c r="B98" s="10"/>
      <c r="C98" s="10">
        <f>+C80/B80</f>
        <v>1.5873015873015872E-2</v>
      </c>
      <c r="D98" s="10">
        <f>+D80/B80</f>
        <v>0.23809523809523808</v>
      </c>
      <c r="E98" s="10">
        <f>+E80/B80</f>
        <v>0.33333333333333331</v>
      </c>
      <c r="F98" s="10"/>
      <c r="G98" s="10">
        <f>+(G80/F80)*0.4</f>
        <v>8.9285714285714298E-3</v>
      </c>
      <c r="H98" s="10">
        <f>+(H80/F80)*0.4</f>
        <v>0.13750000000000001</v>
      </c>
      <c r="I98" s="10">
        <f>+(I80/F80)*0.4</f>
        <v>0.16428571428571428</v>
      </c>
      <c r="J98" s="10"/>
      <c r="K98" s="10">
        <f>+(K80/J80)*0.4</f>
        <v>2.0512820512820513E-2</v>
      </c>
      <c r="L98" s="10">
        <f>+(L80/J80)*0.4</f>
        <v>7.1794871794871803E-2</v>
      </c>
      <c r="M98" s="10">
        <f>+(M80/J80)*0.4</f>
        <v>0.10256410256410256</v>
      </c>
    </row>
    <row r="99" spans="1:13" ht="15" customHeight="1" x14ac:dyDescent="0.2">
      <c r="A99" s="18" t="s">
        <v>143</v>
      </c>
      <c r="B99" s="6">
        <f>SUM(B100:B100)</f>
        <v>0</v>
      </c>
      <c r="C99" s="6">
        <f>SUM(C100:C100)</f>
        <v>0</v>
      </c>
      <c r="D99" s="6">
        <f>SUM(D100:D100)</f>
        <v>0</v>
      </c>
      <c r="E99" s="6">
        <f>SUM(E100:E100)</f>
        <v>0</v>
      </c>
      <c r="F99" s="6">
        <v>210</v>
      </c>
      <c r="G99" s="6">
        <v>0</v>
      </c>
      <c r="H99" s="6">
        <v>0</v>
      </c>
      <c r="I99" s="6">
        <v>65</v>
      </c>
      <c r="J99" s="6">
        <v>70</v>
      </c>
      <c r="K99" s="6">
        <v>0</v>
      </c>
      <c r="L99" s="6">
        <v>0</v>
      </c>
      <c r="M99" s="6">
        <v>15</v>
      </c>
    </row>
    <row r="100" spans="1:13" ht="15" customHeight="1" x14ac:dyDescent="0.2">
      <c r="A100" s="7" t="s">
        <v>240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5" customHeight="1" x14ac:dyDescent="0.2">
      <c r="A101" s="8" t="s">
        <v>13</v>
      </c>
      <c r="B101" s="10"/>
      <c r="C101" s="10" t="e">
        <f>+C99/B99</f>
        <v>#DIV/0!</v>
      </c>
      <c r="D101" s="10" t="e">
        <f>+D99/B99</f>
        <v>#DIV/0!</v>
      </c>
      <c r="E101" s="10" t="e">
        <f>+E99/B99</f>
        <v>#DIV/0!</v>
      </c>
      <c r="F101" s="10"/>
      <c r="G101" s="10">
        <f>+(G99/F99)*0.4</f>
        <v>0</v>
      </c>
      <c r="H101" s="10">
        <f>+(H99/F99)*0.4</f>
        <v>0</v>
      </c>
      <c r="I101" s="10">
        <f>+(I99/F99)*0.4</f>
        <v>0.12380952380952381</v>
      </c>
      <c r="J101" s="10"/>
      <c r="K101" s="10">
        <f>+(K99/J99)*0.4</f>
        <v>0</v>
      </c>
      <c r="L101" s="10">
        <f>+(L99/J99)*0.4</f>
        <v>0</v>
      </c>
      <c r="M101" s="10">
        <f>+(M99/J99)*0.4</f>
        <v>8.5714285714285715E-2</v>
      </c>
    </row>
    <row r="102" spans="1:13" ht="15" customHeight="1" x14ac:dyDescent="0.2">
      <c r="A102" s="18" t="s">
        <v>144</v>
      </c>
      <c r="B102" s="6">
        <f>SUM(B103:B110)</f>
        <v>8</v>
      </c>
      <c r="C102" s="6">
        <f>SUM(C103:C110)</f>
        <v>1</v>
      </c>
      <c r="D102" s="6">
        <f>SUM(D103:D110)</f>
        <v>2</v>
      </c>
      <c r="E102" s="6">
        <f>SUM(E103:E110)</f>
        <v>1</v>
      </c>
      <c r="F102" s="6">
        <v>230</v>
      </c>
      <c r="G102" s="6">
        <v>10</v>
      </c>
      <c r="H102" s="6">
        <v>29</v>
      </c>
      <c r="I102" s="6">
        <v>15</v>
      </c>
      <c r="J102" s="6">
        <v>115</v>
      </c>
      <c r="K102" s="6">
        <v>0</v>
      </c>
      <c r="L102" s="6">
        <v>10</v>
      </c>
      <c r="M102" s="6">
        <v>15</v>
      </c>
    </row>
    <row r="103" spans="1:13" ht="15" customHeight="1" x14ac:dyDescent="0.2">
      <c r="A103" s="7" t="s">
        <v>240</v>
      </c>
      <c r="B103" s="6">
        <v>1</v>
      </c>
      <c r="C103" s="6"/>
      <c r="D103" s="6">
        <v>1</v>
      </c>
      <c r="E103" s="6"/>
      <c r="F103" s="6"/>
      <c r="G103" s="6"/>
      <c r="H103" s="6"/>
      <c r="I103" s="6"/>
      <c r="J103" s="6"/>
      <c r="K103" s="6"/>
      <c r="L103" s="6"/>
      <c r="M103" s="6"/>
    </row>
    <row r="104" spans="1:13" ht="15" customHeight="1" x14ac:dyDescent="0.2">
      <c r="A104" s="7" t="s">
        <v>184</v>
      </c>
      <c r="B104" s="6">
        <v>1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ht="15" customHeight="1" x14ac:dyDescent="0.2">
      <c r="A105" s="7" t="s">
        <v>172</v>
      </c>
      <c r="B105" s="6">
        <v>1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ht="15" customHeight="1" x14ac:dyDescent="0.2">
      <c r="A106" s="7" t="s">
        <v>169</v>
      </c>
      <c r="B106" s="6">
        <v>1</v>
      </c>
      <c r="C106" s="6">
        <v>1</v>
      </c>
      <c r="D106" s="6">
        <v>1</v>
      </c>
      <c r="E106" s="6">
        <v>1</v>
      </c>
      <c r="F106" s="6"/>
      <c r="G106" s="6"/>
      <c r="H106" s="6"/>
      <c r="I106" s="6"/>
      <c r="J106" s="6"/>
      <c r="K106" s="6"/>
      <c r="L106" s="6"/>
      <c r="M106" s="6"/>
    </row>
    <row r="107" spans="1:13" ht="15" customHeight="1" x14ac:dyDescent="0.2">
      <c r="A107" s="7" t="s">
        <v>135</v>
      </c>
      <c r="B107" s="6">
        <v>1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ht="15" customHeight="1" x14ac:dyDescent="0.2">
      <c r="A108" s="7" t="s">
        <v>179</v>
      </c>
      <c r="B108" s="6">
        <v>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5" customHeight="1" x14ac:dyDescent="0.2">
      <c r="A109" s="7" t="s">
        <v>170</v>
      </c>
      <c r="B109" s="6">
        <v>1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5" customHeight="1" x14ac:dyDescent="0.2">
      <c r="A110" s="7" t="s">
        <v>137</v>
      </c>
      <c r="B110" s="6">
        <v>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5" customHeight="1" x14ac:dyDescent="0.2">
      <c r="A111" s="8" t="s">
        <v>13</v>
      </c>
      <c r="B111" s="10"/>
      <c r="C111" s="10">
        <f>+C102/B102</f>
        <v>0.125</v>
      </c>
      <c r="D111" s="10">
        <f>+D102/B102</f>
        <v>0.25</v>
      </c>
      <c r="E111" s="10">
        <f>+E102/B102</f>
        <v>0.125</v>
      </c>
      <c r="F111" s="10"/>
      <c r="G111" s="10">
        <f>+(G102/F102)*0.4</f>
        <v>1.7391304347826087E-2</v>
      </c>
      <c r="H111" s="10">
        <f>+(H102/F102)*0.4</f>
        <v>5.0434782608695654E-2</v>
      </c>
      <c r="I111" s="10">
        <f>+(I102/F102)*0.4</f>
        <v>2.6086956521739132E-2</v>
      </c>
      <c r="J111" s="10"/>
      <c r="K111" s="10">
        <f>+(K102/J102)*0.4</f>
        <v>0</v>
      </c>
      <c r="L111" s="10">
        <f>+(L102/J102)*0.4</f>
        <v>3.4782608695652174E-2</v>
      </c>
      <c r="M111" s="10">
        <f>+(M102/J102)*0.4</f>
        <v>5.2173913043478265E-2</v>
      </c>
    </row>
    <row r="112" spans="1:13" ht="15" customHeight="1" x14ac:dyDescent="0.2">
      <c r="A112" s="18" t="s">
        <v>145</v>
      </c>
      <c r="B112" s="6">
        <f>SUM(B113:B115)</f>
        <v>4</v>
      </c>
      <c r="C112" s="6">
        <f>SUM(C113:C115)</f>
        <v>0</v>
      </c>
      <c r="D112" s="6">
        <f>SUM(D113:D115)</f>
        <v>0</v>
      </c>
      <c r="E112" s="6">
        <f>SUM(E113:E115)</f>
        <v>1</v>
      </c>
      <c r="F112" s="6">
        <v>630</v>
      </c>
      <c r="G112" s="6">
        <v>30</v>
      </c>
      <c r="H112" s="6">
        <v>69</v>
      </c>
      <c r="I112" s="6">
        <v>245</v>
      </c>
      <c r="J112" s="6">
        <v>20</v>
      </c>
      <c r="K112" s="6">
        <v>0</v>
      </c>
      <c r="L112" s="6">
        <v>15</v>
      </c>
      <c r="M112" s="6">
        <v>0</v>
      </c>
    </row>
    <row r="113" spans="1:13" ht="15" customHeight="1" x14ac:dyDescent="0.2">
      <c r="A113" s="7" t="s">
        <v>177</v>
      </c>
      <c r="B113" s="6">
        <v>2</v>
      </c>
      <c r="C113" s="6"/>
      <c r="D113" s="6"/>
      <c r="E113" s="6">
        <v>1</v>
      </c>
      <c r="F113" s="6"/>
      <c r="G113" s="6"/>
      <c r="H113" s="6"/>
      <c r="I113" s="6"/>
      <c r="J113" s="6"/>
      <c r="K113" s="6"/>
      <c r="L113" s="6"/>
      <c r="M113" s="6"/>
    </row>
    <row r="114" spans="1:13" ht="15" customHeight="1" x14ac:dyDescent="0.2">
      <c r="A114" s="7" t="s">
        <v>169</v>
      </c>
      <c r="B114" s="6">
        <v>1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ht="15" customHeight="1" x14ac:dyDescent="0.2">
      <c r="A115" s="7" t="s">
        <v>135</v>
      </c>
      <c r="B115" s="6">
        <v>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ht="15" customHeight="1" x14ac:dyDescent="0.2">
      <c r="A116" s="8" t="s">
        <v>13</v>
      </c>
      <c r="B116" s="10"/>
      <c r="C116" s="10">
        <f>+C112/B112</f>
        <v>0</v>
      </c>
      <c r="D116" s="10">
        <f>+D112/B112</f>
        <v>0</v>
      </c>
      <c r="E116" s="10">
        <f>+E112/B112</f>
        <v>0.25</v>
      </c>
      <c r="F116" s="10"/>
      <c r="G116" s="10">
        <f>+(G112/F112)*0.4</f>
        <v>1.9047619047619049E-2</v>
      </c>
      <c r="H116" s="10">
        <f>+(H112/F112)*0.4</f>
        <v>4.3809523809523812E-2</v>
      </c>
      <c r="I116" s="10">
        <f>+(I112/F112)*0.4</f>
        <v>0.15555555555555556</v>
      </c>
      <c r="J116" s="10"/>
      <c r="K116" s="10">
        <f>+(K112/J112)*0.4</f>
        <v>0</v>
      </c>
      <c r="L116" s="10">
        <f>+(L112/J112)*0.4</f>
        <v>0.30000000000000004</v>
      </c>
      <c r="M116" s="10">
        <f>+(M112/J112)*0.4</f>
        <v>0</v>
      </c>
    </row>
    <row r="117" spans="1:13" ht="15" customHeight="1" x14ac:dyDescent="0.2">
      <c r="A117" s="25" t="s">
        <v>12</v>
      </c>
      <c r="B117" s="6">
        <f t="shared" ref="B117:M117" si="1">+B112+B102+B99+B80+B72+B57+B38+B7</f>
        <v>353</v>
      </c>
      <c r="C117" s="6">
        <f t="shared" si="1"/>
        <v>21</v>
      </c>
      <c r="D117" s="6">
        <f t="shared" si="1"/>
        <v>47</v>
      </c>
      <c r="E117" s="6">
        <f t="shared" si="1"/>
        <v>108</v>
      </c>
      <c r="F117" s="6">
        <f t="shared" si="1"/>
        <v>32530</v>
      </c>
      <c r="G117" s="6">
        <f t="shared" si="1"/>
        <v>3878</v>
      </c>
      <c r="H117" s="6">
        <f t="shared" si="1"/>
        <v>5983</v>
      </c>
      <c r="I117" s="6">
        <f t="shared" si="1"/>
        <v>14295</v>
      </c>
      <c r="J117" s="6">
        <f t="shared" si="1"/>
        <v>7960</v>
      </c>
      <c r="K117" s="6">
        <f t="shared" si="1"/>
        <v>788</v>
      </c>
      <c r="L117" s="6">
        <f t="shared" si="1"/>
        <v>1363</v>
      </c>
      <c r="M117" s="6">
        <f t="shared" si="1"/>
        <v>2065</v>
      </c>
    </row>
    <row r="118" spans="1:13" ht="15" customHeight="1" x14ac:dyDescent="0.2">
      <c r="A118" s="8" t="s">
        <v>13</v>
      </c>
      <c r="B118" s="14"/>
      <c r="C118" s="14">
        <f>+C117/B117</f>
        <v>5.9490084985835696E-2</v>
      </c>
      <c r="D118" s="14">
        <f>+D117/B117</f>
        <v>0.13314447592067988</v>
      </c>
      <c r="E118" s="14">
        <f>+E117/B117</f>
        <v>0.30594900849858359</v>
      </c>
      <c r="F118" s="14"/>
      <c r="G118" s="14">
        <f>+(G117/F117)*0.4</f>
        <v>4.7685213648939441E-2</v>
      </c>
      <c r="H118" s="14">
        <f>+(H117/F117)*0.4</f>
        <v>7.3569013218567486E-2</v>
      </c>
      <c r="I118" s="14">
        <f>+(I117/F117)*0.4</f>
        <v>0.1757762065785429</v>
      </c>
      <c r="J118" s="14"/>
      <c r="K118" s="14">
        <f>+(K117/J117)*0.4</f>
        <v>3.9597989949748752E-2</v>
      </c>
      <c r="L118" s="14">
        <f>+(L117/J117)*0.4</f>
        <v>6.8492462311557797E-2</v>
      </c>
      <c r="M118" s="14">
        <f>+(M117/J117)*0.4</f>
        <v>0.10376884422110554</v>
      </c>
    </row>
    <row r="120" spans="1:13" ht="15" customHeight="1" x14ac:dyDescent="0.2">
      <c r="A120" s="25" t="s">
        <v>14</v>
      </c>
      <c r="B120" s="25" t="s">
        <v>3</v>
      </c>
      <c r="C120" s="25" t="s">
        <v>55</v>
      </c>
      <c r="D120" s="25" t="s">
        <v>4</v>
      </c>
    </row>
    <row r="122" spans="1:13" ht="15" customHeight="1" x14ac:dyDescent="0.2">
      <c r="A122" s="1" t="s">
        <v>87</v>
      </c>
      <c r="B122" s="16">
        <f>+G118</f>
        <v>4.7685213648939441E-2</v>
      </c>
      <c r="C122" s="16">
        <f>+H118</f>
        <v>7.3569013218567486E-2</v>
      </c>
      <c r="D122" s="16">
        <f>+I118</f>
        <v>0.1757762065785429</v>
      </c>
    </row>
    <row r="123" spans="1:13" ht="15" customHeight="1" x14ac:dyDescent="0.2">
      <c r="A123" s="1" t="s">
        <v>20</v>
      </c>
      <c r="B123" s="16">
        <f>+K118</f>
        <v>3.9597989949748752E-2</v>
      </c>
      <c r="C123" s="16">
        <f>+L118</f>
        <v>6.8492462311557797E-2</v>
      </c>
      <c r="D123" s="16">
        <f>+M118</f>
        <v>0.10376884422110554</v>
      </c>
    </row>
    <row r="124" spans="1:13" ht="15" customHeight="1" x14ac:dyDescent="0.2">
      <c r="A124" s="1" t="s">
        <v>21</v>
      </c>
      <c r="B124" s="16">
        <v>1.1900000000000001E-2</v>
      </c>
      <c r="C124" s="16">
        <v>2.6599999999999999E-2</v>
      </c>
      <c r="D124" s="16">
        <v>6.1199999999999997E-2</v>
      </c>
    </row>
    <row r="125" spans="1:13" ht="15" customHeight="1" x14ac:dyDescent="0.2">
      <c r="A125" s="17" t="s">
        <v>12</v>
      </c>
      <c r="B125" s="14">
        <f>SUM(B122:B124)</f>
        <v>9.918320359868818E-2</v>
      </c>
      <c r="C125" s="14">
        <f>SUM(C122:C124)</f>
        <v>0.16866147553012528</v>
      </c>
      <c r="D125" s="14">
        <f>SUM(D122:D124)</f>
        <v>0.3407450507996484</v>
      </c>
    </row>
  </sheetData>
  <sortState ref="A121:M123">
    <sortCondition ref="A121:A123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25"/>
  <pageSetup fitToHeight="0" orientation="landscape" r:id="rId1"/>
  <headerFooter alignWithMargins="0">
    <oddHeader>&amp;C&amp;"Times New Roman,Bold"&amp;11AVAILABILITY ANALYSIS - 08/31/2018
&amp;REXHIBIT 5</oddHeader>
    <oddFooter>&amp;RUpdated: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79" zoomScaleNormal="100" workbookViewId="0">
      <selection activeCell="D95" sqref="D95"/>
    </sheetView>
  </sheetViews>
  <sheetFormatPr defaultColWidth="9.33203125" defaultRowHeight="15" customHeight="1" x14ac:dyDescent="0.2"/>
  <cols>
    <col min="1" max="1" width="35.5" style="1" customWidth="1"/>
    <col min="2" max="2" width="9.5" style="1" bestFit="1" customWidth="1"/>
    <col min="3" max="5" width="10.1640625" style="1" bestFit="1" customWidth="1"/>
    <col min="6" max="6" width="13.6640625" style="1" bestFit="1" customWidth="1"/>
    <col min="7" max="7" width="9.5" style="1" bestFit="1" customWidth="1"/>
    <col min="8" max="8" width="8.1640625" style="1" customWidth="1"/>
    <col min="9" max="9" width="9.5" style="1" bestFit="1" customWidth="1"/>
    <col min="10" max="10" width="8.83203125" style="1" bestFit="1" customWidth="1"/>
    <col min="11" max="11" width="9.5" style="1" bestFit="1" customWidth="1"/>
    <col min="12" max="12" width="8.1640625" style="1" customWidth="1"/>
    <col min="13" max="13" width="9.5" style="1" bestFit="1" customWidth="1"/>
    <col min="14" max="16384" width="9.33203125" style="1"/>
  </cols>
  <sheetData>
    <row r="1" spans="1:13" ht="15" customHeight="1" x14ac:dyDescent="0.2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5</v>
      </c>
      <c r="G5" s="46"/>
      <c r="H5" s="46"/>
      <c r="I5" s="46"/>
      <c r="J5" s="46" t="s">
        <v>19</v>
      </c>
      <c r="K5" s="46"/>
      <c r="L5" s="46"/>
      <c r="M5" s="46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55</v>
      </c>
      <c r="E6" s="3" t="s">
        <v>4</v>
      </c>
      <c r="F6" s="3" t="s">
        <v>8</v>
      </c>
      <c r="G6" s="3" t="s">
        <v>3</v>
      </c>
      <c r="H6" s="3" t="s">
        <v>55</v>
      </c>
      <c r="I6" s="3" t="s">
        <v>4</v>
      </c>
      <c r="J6" s="3" t="s">
        <v>8</v>
      </c>
      <c r="K6" s="3" t="s">
        <v>3</v>
      </c>
      <c r="L6" s="3" t="s">
        <v>55</v>
      </c>
      <c r="M6" s="3" t="s">
        <v>4</v>
      </c>
    </row>
    <row r="7" spans="1:13" ht="15" customHeight="1" x14ac:dyDescent="0.2">
      <c r="A7" s="5" t="s">
        <v>125</v>
      </c>
      <c r="B7" s="6">
        <f>SUM(B8:B10)</f>
        <v>3</v>
      </c>
      <c r="C7" s="6">
        <f>SUM(C8:C10)</f>
        <v>0</v>
      </c>
      <c r="D7" s="6">
        <f>SUM(D8:D10)</f>
        <v>0</v>
      </c>
      <c r="E7" s="6">
        <f>SUM(E8:E10)</f>
        <v>1</v>
      </c>
      <c r="F7" s="6">
        <v>1220</v>
      </c>
      <c r="G7" s="6">
        <v>275</v>
      </c>
      <c r="H7" s="6">
        <v>335</v>
      </c>
      <c r="I7" s="6">
        <v>335</v>
      </c>
      <c r="J7" s="6">
        <v>180</v>
      </c>
      <c r="K7" s="6">
        <v>10</v>
      </c>
      <c r="L7" s="6">
        <v>50</v>
      </c>
      <c r="M7" s="6">
        <v>75</v>
      </c>
    </row>
    <row r="8" spans="1:13" ht="15" customHeight="1" x14ac:dyDescent="0.2">
      <c r="A8" s="7" t="s">
        <v>214</v>
      </c>
      <c r="B8" s="6">
        <v>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514</v>
      </c>
      <c r="B9" s="6">
        <v>1</v>
      </c>
      <c r="C9" s="6"/>
      <c r="D9" s="6"/>
      <c r="E9" s="6">
        <v>1</v>
      </c>
      <c r="F9" s="6"/>
      <c r="G9" s="6"/>
      <c r="H9" s="6"/>
      <c r="I9" s="6"/>
      <c r="J9" s="6"/>
    </row>
    <row r="10" spans="1:13" ht="15" customHeight="1" x14ac:dyDescent="0.2">
      <c r="A10" s="24" t="s">
        <v>409</v>
      </c>
      <c r="B10" s="6">
        <v>1</v>
      </c>
      <c r="C10" s="6"/>
      <c r="D10" s="6"/>
      <c r="E10" s="6"/>
      <c r="F10" s="6"/>
      <c r="G10" s="6"/>
      <c r="H10" s="6"/>
      <c r="I10" s="6"/>
      <c r="J10" s="6"/>
    </row>
    <row r="11" spans="1:13" ht="15" customHeight="1" x14ac:dyDescent="0.2">
      <c r="A11" s="8" t="s">
        <v>13</v>
      </c>
      <c r="B11" s="9"/>
      <c r="C11" s="10">
        <f>+C7/B7</f>
        <v>0</v>
      </c>
      <c r="D11" s="10">
        <f>+D7/B7</f>
        <v>0</v>
      </c>
      <c r="E11" s="10">
        <f>+E7/B7</f>
        <v>0.33333333333333331</v>
      </c>
      <c r="F11" s="9"/>
      <c r="G11" s="10">
        <f>(G7/F7)*0.4</f>
        <v>9.0163934426229511E-2</v>
      </c>
      <c r="H11" s="10">
        <f>(H7/F7)*0.4</f>
        <v>0.10983606557377051</v>
      </c>
      <c r="I11" s="10">
        <f>+(I7/F7)*0.4</f>
        <v>0.10983606557377051</v>
      </c>
      <c r="J11" s="9"/>
      <c r="K11" s="10">
        <f>+(K7/J7)*0.4</f>
        <v>2.2222222222222223E-2</v>
      </c>
      <c r="L11" s="10">
        <f>+(L7/J7)*0.4</f>
        <v>0.11111111111111112</v>
      </c>
      <c r="M11" s="10">
        <f>+(M7/J7)*0.4</f>
        <v>0.16666666666666669</v>
      </c>
    </row>
    <row r="12" spans="1:13" ht="15" customHeight="1" x14ac:dyDescent="0.2">
      <c r="A12" s="5" t="s">
        <v>262</v>
      </c>
      <c r="B12" s="6">
        <f>B13</f>
        <v>1</v>
      </c>
      <c r="C12" s="6">
        <f>C13</f>
        <v>0</v>
      </c>
      <c r="D12" s="6">
        <f>D13</f>
        <v>0</v>
      </c>
      <c r="E12" s="6">
        <f>E13</f>
        <v>0</v>
      </c>
      <c r="F12" s="6">
        <v>1375</v>
      </c>
      <c r="G12" s="6">
        <v>95</v>
      </c>
      <c r="H12" s="6">
        <v>175</v>
      </c>
      <c r="I12" s="6">
        <v>240</v>
      </c>
      <c r="J12" s="6">
        <v>235</v>
      </c>
      <c r="K12" s="6">
        <v>0</v>
      </c>
      <c r="L12" s="6">
        <v>40</v>
      </c>
      <c r="M12" s="6">
        <v>70</v>
      </c>
    </row>
    <row r="13" spans="1:13" ht="15" customHeight="1" x14ac:dyDescent="0.2">
      <c r="A13" s="7" t="s">
        <v>401</v>
      </c>
      <c r="B13" s="6">
        <v>1</v>
      </c>
      <c r="C13" s="6"/>
      <c r="D13" s="6"/>
      <c r="E13" s="6"/>
      <c r="F13" s="6"/>
      <c r="G13" s="6"/>
      <c r="H13" s="6"/>
      <c r="I13" s="6"/>
      <c r="J13" s="6"/>
    </row>
    <row r="14" spans="1:13" ht="15" customHeight="1" x14ac:dyDescent="0.2">
      <c r="A14" s="8" t="s">
        <v>13</v>
      </c>
      <c r="B14" s="9"/>
      <c r="C14" s="10">
        <f>+C12/B12</f>
        <v>0</v>
      </c>
      <c r="D14" s="10">
        <f>+D12/B12</f>
        <v>0</v>
      </c>
      <c r="E14" s="10">
        <f>+E12/B12</f>
        <v>0</v>
      </c>
      <c r="F14" s="9"/>
      <c r="G14" s="10">
        <f>(G12/F12)*0.4</f>
        <v>2.7636363636363639E-2</v>
      </c>
      <c r="H14" s="10">
        <f>(H12/F12)*0.4</f>
        <v>5.0909090909090904E-2</v>
      </c>
      <c r="I14" s="10">
        <f>+(I12/F12)*0.4</f>
        <v>6.9818181818181821E-2</v>
      </c>
      <c r="J14" s="9"/>
      <c r="K14" s="10">
        <f>+(K12/J12)*0.4</f>
        <v>0</v>
      </c>
      <c r="L14" s="10">
        <f>+(L12/J12)*0.4</f>
        <v>6.8085106382978725E-2</v>
      </c>
      <c r="M14" s="10">
        <f>+(M12/J12)*0.4</f>
        <v>0.11914893617021277</v>
      </c>
    </row>
    <row r="15" spans="1:13" ht="15" customHeight="1" x14ac:dyDescent="0.2">
      <c r="A15" s="12" t="s">
        <v>263</v>
      </c>
      <c r="B15" s="1">
        <f>SUM(B16:B18)</f>
        <v>14</v>
      </c>
      <c r="C15" s="1">
        <f>SUM(C16:C18)</f>
        <v>1</v>
      </c>
      <c r="D15" s="1">
        <f>SUM(D16:D18)</f>
        <v>1</v>
      </c>
      <c r="E15" s="1">
        <f>SUM(E16:E18)</f>
        <v>5</v>
      </c>
      <c r="F15" s="1">
        <v>3540</v>
      </c>
      <c r="G15" s="1">
        <v>725</v>
      </c>
      <c r="H15" s="1">
        <v>872</v>
      </c>
      <c r="I15" s="1">
        <v>1185</v>
      </c>
      <c r="J15" s="1">
        <v>420</v>
      </c>
      <c r="K15" s="1">
        <v>130</v>
      </c>
      <c r="L15" s="1">
        <v>150</v>
      </c>
      <c r="M15" s="1">
        <v>80</v>
      </c>
    </row>
    <row r="16" spans="1:13" ht="15" customHeight="1" x14ac:dyDescent="0.2">
      <c r="A16" s="7" t="s">
        <v>242</v>
      </c>
      <c r="B16" s="6">
        <v>1</v>
      </c>
      <c r="C16" s="6"/>
      <c r="D16" s="6"/>
      <c r="E16" s="6">
        <v>1</v>
      </c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2">
      <c r="A17" s="7" t="s">
        <v>515</v>
      </c>
      <c r="B17" s="6">
        <v>1</v>
      </c>
      <c r="C17" s="6"/>
      <c r="D17" s="6"/>
      <c r="E17" s="6">
        <v>1</v>
      </c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7" t="s">
        <v>60</v>
      </c>
      <c r="B18" s="6">
        <v>12</v>
      </c>
      <c r="C18" s="6">
        <v>1</v>
      </c>
      <c r="D18" s="6">
        <v>1</v>
      </c>
      <c r="E18" s="6">
        <v>3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8" t="s">
        <v>13</v>
      </c>
      <c r="B19" s="14"/>
      <c r="C19" s="14">
        <f>+C15/B15</f>
        <v>7.1428571428571425E-2</v>
      </c>
      <c r="D19" s="14">
        <f>+D15/B15</f>
        <v>7.1428571428571425E-2</v>
      </c>
      <c r="E19" s="14">
        <f>+E15/B15</f>
        <v>0.35714285714285715</v>
      </c>
      <c r="F19" s="14"/>
      <c r="G19" s="14">
        <f>+(G15/F15)*0.4</f>
        <v>8.1920903954802268E-2</v>
      </c>
      <c r="H19" s="14">
        <f>+(H15/F15)*0.4</f>
        <v>9.8531073446327694E-2</v>
      </c>
      <c r="I19" s="14">
        <f>+(I15/F15)*0.4</f>
        <v>0.13389830508474576</v>
      </c>
      <c r="J19" s="14"/>
      <c r="K19" s="14">
        <f>+(K15/J15)*0.4</f>
        <v>0.12380952380952381</v>
      </c>
      <c r="L19" s="14">
        <f>+(L15/J15)*0.4</f>
        <v>0.14285714285714288</v>
      </c>
      <c r="M19" s="14">
        <f>+(M15/J15)*0.4</f>
        <v>7.6190476190476197E-2</v>
      </c>
    </row>
    <row r="20" spans="1:13" ht="15" customHeight="1" x14ac:dyDescent="0.2">
      <c r="A20" s="5" t="s">
        <v>126</v>
      </c>
      <c r="B20" s="6">
        <f>SUM(B21:B25)</f>
        <v>5</v>
      </c>
      <c r="C20" s="6">
        <f>SUM(C21:C25)</f>
        <v>0</v>
      </c>
      <c r="D20" s="6">
        <f>SUM(D21:D25)</f>
        <v>1</v>
      </c>
      <c r="E20" s="6">
        <f>SUM(E21:E25)</f>
        <v>1</v>
      </c>
      <c r="F20" s="6">
        <v>4625</v>
      </c>
      <c r="G20" s="6">
        <v>530</v>
      </c>
      <c r="H20" s="6">
        <v>640</v>
      </c>
      <c r="I20" s="6">
        <v>1355</v>
      </c>
      <c r="J20" s="6">
        <v>920</v>
      </c>
      <c r="K20" s="6">
        <v>45</v>
      </c>
      <c r="L20" s="6">
        <v>55</v>
      </c>
      <c r="M20" s="6">
        <v>285</v>
      </c>
    </row>
    <row r="21" spans="1:13" ht="15" customHeight="1" x14ac:dyDescent="0.2">
      <c r="A21" s="7" t="s">
        <v>306</v>
      </c>
      <c r="B21" s="6">
        <v>1</v>
      </c>
      <c r="C21" s="6"/>
      <c r="D21" s="6"/>
      <c r="E21" s="6"/>
      <c r="F21" s="6"/>
      <c r="G21" s="6"/>
      <c r="H21" s="6"/>
      <c r="I21" s="6"/>
      <c r="J21" s="6"/>
    </row>
    <row r="22" spans="1:13" ht="15" customHeight="1" x14ac:dyDescent="0.2">
      <c r="A22" s="7" t="s">
        <v>206</v>
      </c>
      <c r="B22" s="6">
        <v>1</v>
      </c>
      <c r="C22" s="6"/>
      <c r="D22" s="6"/>
      <c r="E22" s="6">
        <v>1</v>
      </c>
      <c r="F22" s="6"/>
      <c r="G22" s="6"/>
      <c r="H22" s="6"/>
      <c r="I22" s="6"/>
      <c r="J22" s="6"/>
    </row>
    <row r="23" spans="1:13" ht="15" customHeight="1" x14ac:dyDescent="0.2">
      <c r="A23" s="7" t="s">
        <v>243</v>
      </c>
      <c r="B23" s="6">
        <v>1</v>
      </c>
      <c r="C23" s="6"/>
      <c r="D23" s="6"/>
      <c r="E23" s="6"/>
      <c r="F23" s="6"/>
      <c r="G23" s="6"/>
      <c r="H23" s="6"/>
      <c r="I23" s="6"/>
      <c r="J23" s="6"/>
    </row>
    <row r="24" spans="1:13" ht="15" customHeight="1" x14ac:dyDescent="0.2">
      <c r="A24" s="7" t="s">
        <v>396</v>
      </c>
      <c r="B24" s="6">
        <v>1</v>
      </c>
      <c r="C24" s="6"/>
      <c r="D24" s="6"/>
      <c r="E24" s="6"/>
      <c r="F24" s="6"/>
      <c r="G24" s="6"/>
      <c r="H24" s="6"/>
      <c r="I24" s="6"/>
      <c r="J24" s="6"/>
    </row>
    <row r="25" spans="1:13" ht="15" customHeight="1" x14ac:dyDescent="0.2">
      <c r="A25" s="7" t="s">
        <v>516</v>
      </c>
      <c r="B25" s="6">
        <v>1</v>
      </c>
      <c r="C25" s="6"/>
      <c r="D25" s="6">
        <v>1</v>
      </c>
      <c r="E25" s="6"/>
      <c r="F25" s="6"/>
      <c r="G25" s="6"/>
      <c r="H25" s="6"/>
      <c r="I25" s="6"/>
      <c r="J25" s="6"/>
    </row>
    <row r="26" spans="1:13" ht="15" customHeight="1" x14ac:dyDescent="0.2">
      <c r="A26" s="8" t="s">
        <v>13</v>
      </c>
      <c r="B26" s="9"/>
      <c r="C26" s="10">
        <f>+C20/B20</f>
        <v>0</v>
      </c>
      <c r="D26" s="10">
        <f>+D20/B20</f>
        <v>0.2</v>
      </c>
      <c r="E26" s="10">
        <f>+E20/B20</f>
        <v>0.2</v>
      </c>
      <c r="F26" s="9"/>
      <c r="G26" s="10">
        <f>(G20/F20)*0.4</f>
        <v>4.583783783783784E-2</v>
      </c>
      <c r="H26" s="10">
        <f>(H20/F20)*0.4</f>
        <v>5.5351351351351358E-2</v>
      </c>
      <c r="I26" s="10">
        <f>+(I20/F20)*0.4</f>
        <v>0.11718918918918919</v>
      </c>
      <c r="J26" s="9"/>
      <c r="K26" s="10">
        <f>+(K20/J20)*0.4</f>
        <v>1.9565217391304349E-2</v>
      </c>
      <c r="L26" s="10">
        <f>+(L20/J20)*0.4</f>
        <v>2.391304347826087E-2</v>
      </c>
      <c r="M26" s="10">
        <f>+(M20/J20)*0.4</f>
        <v>0.12391304347826088</v>
      </c>
    </row>
    <row r="27" spans="1:13" ht="15" customHeight="1" x14ac:dyDescent="0.2">
      <c r="A27" s="12" t="s">
        <v>127</v>
      </c>
      <c r="B27" s="1">
        <f>SUM(B28:B28)</f>
        <v>1</v>
      </c>
      <c r="C27" s="1">
        <f>SUM(C28:C28)</f>
        <v>0</v>
      </c>
      <c r="D27" s="1">
        <f>SUM(D28:D28)</f>
        <v>0</v>
      </c>
      <c r="E27" s="1">
        <f>SUM(E28:E28)</f>
        <v>0</v>
      </c>
      <c r="F27" s="1">
        <v>12530</v>
      </c>
      <c r="G27" s="1">
        <v>920</v>
      </c>
      <c r="H27" s="1">
        <v>1170</v>
      </c>
      <c r="I27" s="1">
        <v>585</v>
      </c>
      <c r="J27" s="1">
        <v>1045</v>
      </c>
      <c r="K27" s="1">
        <v>50</v>
      </c>
      <c r="L27" s="1">
        <v>64</v>
      </c>
      <c r="M27" s="1">
        <v>50</v>
      </c>
    </row>
    <row r="28" spans="1:13" ht="15" customHeight="1" x14ac:dyDescent="0.2">
      <c r="A28" s="7" t="s">
        <v>402</v>
      </c>
      <c r="B28" s="6">
        <v>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8" t="s">
        <v>13</v>
      </c>
      <c r="B29" s="14"/>
      <c r="C29" s="14">
        <f>+C27/B27</f>
        <v>0</v>
      </c>
      <c r="D29" s="14">
        <f>+D27/B27</f>
        <v>0</v>
      </c>
      <c r="E29" s="14">
        <f>+E27/B27</f>
        <v>0</v>
      </c>
      <c r="F29" s="14"/>
      <c r="G29" s="14">
        <f>+(G27/F27)*0.4</f>
        <v>2.9369513168395853E-2</v>
      </c>
      <c r="H29" s="14">
        <f>+(H27/F27)*0.4</f>
        <v>3.7350359138068633E-2</v>
      </c>
      <c r="I29" s="14">
        <f>+(I27/F27)*0.4</f>
        <v>1.8675179569034316E-2</v>
      </c>
      <c r="J29" s="14"/>
      <c r="K29" s="14">
        <f>+(K27/J27)*0.4</f>
        <v>1.9138755980861247E-2</v>
      </c>
      <c r="L29" s="14">
        <f>+(L27/J27)*0.4</f>
        <v>2.4497607655502393E-2</v>
      </c>
      <c r="M29" s="14">
        <f>+(M27/J27)*0.4</f>
        <v>1.9138755980861247E-2</v>
      </c>
    </row>
    <row r="30" spans="1:13" ht="15" customHeight="1" x14ac:dyDescent="0.2">
      <c r="A30" s="12" t="s">
        <v>117</v>
      </c>
      <c r="B30" s="1">
        <f>SUM(B31:B31)</f>
        <v>1</v>
      </c>
      <c r="C30" s="1">
        <f>SUM(C31:C31)</f>
        <v>0</v>
      </c>
      <c r="D30" s="1">
        <f>SUM(D31:D31)</f>
        <v>0</v>
      </c>
      <c r="E30" s="1">
        <f>SUM(E31:E31)</f>
        <v>1</v>
      </c>
      <c r="F30" s="1">
        <v>7640</v>
      </c>
      <c r="G30" s="1">
        <v>2610</v>
      </c>
      <c r="H30" s="1">
        <v>2820</v>
      </c>
      <c r="I30" s="1">
        <v>5650</v>
      </c>
      <c r="J30" s="1">
        <v>680</v>
      </c>
      <c r="K30" s="1">
        <v>260</v>
      </c>
      <c r="L30" s="1">
        <v>295</v>
      </c>
      <c r="M30" s="1">
        <v>535</v>
      </c>
    </row>
    <row r="31" spans="1:13" ht="15" customHeight="1" x14ac:dyDescent="0.2">
      <c r="A31" s="7" t="s">
        <v>362</v>
      </c>
      <c r="B31" s="6">
        <v>1</v>
      </c>
      <c r="C31" s="6"/>
      <c r="D31" s="6"/>
      <c r="E31" s="6">
        <v>1</v>
      </c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8" t="s">
        <v>13</v>
      </c>
      <c r="B32" s="14"/>
      <c r="C32" s="14">
        <f>+C30/B30</f>
        <v>0</v>
      </c>
      <c r="D32" s="14">
        <f>+D30/B30</f>
        <v>0</v>
      </c>
      <c r="E32" s="14">
        <f>+E30/B30</f>
        <v>1</v>
      </c>
      <c r="F32" s="14"/>
      <c r="G32" s="14">
        <f>+(G30/F30)*0.4</f>
        <v>0.13664921465968588</v>
      </c>
      <c r="H32" s="14">
        <f>+(H30/F30)*0.4</f>
        <v>0.14764397905759161</v>
      </c>
      <c r="I32" s="14">
        <f>+(I30/F30)*0.4</f>
        <v>0.29581151832460734</v>
      </c>
      <c r="J32" s="14"/>
      <c r="K32" s="14">
        <f>+(K30/J30)*0.4</f>
        <v>0.15294117647058825</v>
      </c>
      <c r="L32" s="14">
        <f>+(L30/J30)*0.4</f>
        <v>0.1735294117647059</v>
      </c>
      <c r="M32" s="14">
        <f>+(M30/J30)*0.4</f>
        <v>0.31470588235294117</v>
      </c>
    </row>
    <row r="33" spans="1:13" ht="15" customHeight="1" x14ac:dyDescent="0.2">
      <c r="A33" s="5" t="s">
        <v>120</v>
      </c>
      <c r="B33" s="6">
        <f>SUM(B34:B50)</f>
        <v>17</v>
      </c>
      <c r="C33" s="6">
        <f>SUM(C34:C50)</f>
        <v>1</v>
      </c>
      <c r="D33" s="6">
        <f>SUM(D34:D50)</f>
        <v>1</v>
      </c>
      <c r="E33" s="6">
        <f>SUM(E34:E50)</f>
        <v>12</v>
      </c>
      <c r="F33" s="6">
        <v>12400</v>
      </c>
      <c r="G33" s="6">
        <v>3550</v>
      </c>
      <c r="H33" s="6">
        <v>3729</v>
      </c>
      <c r="I33" s="6">
        <v>7675</v>
      </c>
      <c r="J33" s="6">
        <v>1155</v>
      </c>
      <c r="K33" s="6">
        <v>425</v>
      </c>
      <c r="L33" s="6">
        <v>453</v>
      </c>
      <c r="M33" s="6">
        <v>710</v>
      </c>
    </row>
    <row r="34" spans="1:13" ht="15" customHeight="1" x14ac:dyDescent="0.2">
      <c r="A34" s="7" t="s">
        <v>325</v>
      </c>
      <c r="B34" s="6">
        <v>1</v>
      </c>
      <c r="C34" s="6"/>
      <c r="D34" s="6"/>
      <c r="E34" s="6">
        <v>1</v>
      </c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365</v>
      </c>
      <c r="B35" s="6">
        <v>1</v>
      </c>
      <c r="C35" s="6"/>
      <c r="D35" s="6"/>
      <c r="E35" s="6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7" t="s">
        <v>363</v>
      </c>
      <c r="B36" s="6">
        <v>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7" t="s">
        <v>403</v>
      </c>
      <c r="B37" s="6">
        <v>1</v>
      </c>
      <c r="C37" s="6"/>
      <c r="D37" s="6"/>
      <c r="E37" s="6">
        <v>1</v>
      </c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59</v>
      </c>
      <c r="B38" s="6">
        <v>1</v>
      </c>
      <c r="C38" s="6"/>
      <c r="D38" s="6"/>
      <c r="E38" s="6"/>
      <c r="F38" s="6"/>
      <c r="G38" s="6"/>
      <c r="H38" s="6"/>
      <c r="I38" s="6"/>
      <c r="J38" s="6"/>
    </row>
    <row r="39" spans="1:13" ht="15" customHeight="1" x14ac:dyDescent="0.2">
      <c r="A39" s="7" t="s">
        <v>218</v>
      </c>
      <c r="B39" s="6">
        <v>1</v>
      </c>
      <c r="C39" s="6"/>
      <c r="D39" s="6"/>
      <c r="E39" s="6"/>
      <c r="F39" s="6"/>
      <c r="G39" s="6"/>
      <c r="H39" s="6"/>
      <c r="I39" s="6"/>
      <c r="J39" s="6"/>
    </row>
    <row r="40" spans="1:13" ht="15" customHeight="1" x14ac:dyDescent="0.2">
      <c r="A40" s="7" t="s">
        <v>217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</row>
    <row r="41" spans="1:13" ht="15" customHeight="1" x14ac:dyDescent="0.2">
      <c r="A41" s="7" t="s">
        <v>517</v>
      </c>
      <c r="B41" s="6">
        <v>1</v>
      </c>
      <c r="C41" s="6"/>
      <c r="D41" s="6"/>
      <c r="E41" s="6"/>
      <c r="F41" s="6"/>
      <c r="G41" s="6"/>
      <c r="H41" s="6"/>
      <c r="I41" s="6"/>
      <c r="J41" s="6"/>
    </row>
    <row r="42" spans="1:13" ht="15" customHeight="1" x14ac:dyDescent="0.2">
      <c r="A42" s="7" t="s">
        <v>326</v>
      </c>
      <c r="B42" s="6">
        <v>1</v>
      </c>
      <c r="C42" s="6"/>
      <c r="D42" s="6"/>
      <c r="E42" s="6">
        <v>1</v>
      </c>
      <c r="F42" s="6"/>
      <c r="G42" s="6"/>
      <c r="H42" s="6"/>
      <c r="I42" s="6"/>
      <c r="J42" s="6"/>
    </row>
    <row r="43" spans="1:13" ht="15" customHeight="1" x14ac:dyDescent="0.2">
      <c r="A43" s="7" t="s">
        <v>207</v>
      </c>
      <c r="B43" s="6">
        <v>1</v>
      </c>
      <c r="C43" s="6">
        <v>1</v>
      </c>
      <c r="D43" s="6">
        <v>1</v>
      </c>
      <c r="E43" s="6">
        <v>1</v>
      </c>
      <c r="F43" s="6"/>
      <c r="G43" s="6"/>
      <c r="H43" s="6"/>
      <c r="I43" s="6"/>
      <c r="J43" s="6"/>
    </row>
    <row r="44" spans="1:13" ht="15" customHeight="1" x14ac:dyDescent="0.2">
      <c r="A44" s="7" t="s">
        <v>327</v>
      </c>
      <c r="B44" s="6">
        <v>1</v>
      </c>
      <c r="C44" s="6"/>
      <c r="D44" s="6"/>
      <c r="E44" s="6">
        <v>1</v>
      </c>
      <c r="F44" s="6"/>
      <c r="G44" s="6"/>
      <c r="H44" s="6"/>
      <c r="I44" s="6"/>
      <c r="J44" s="6"/>
    </row>
    <row r="45" spans="1:13" ht="15" customHeight="1" x14ac:dyDescent="0.2">
      <c r="A45" s="24" t="s">
        <v>408</v>
      </c>
      <c r="B45" s="6">
        <v>1</v>
      </c>
      <c r="C45" s="6"/>
      <c r="D45" s="6"/>
      <c r="E45" s="6"/>
      <c r="F45" s="6"/>
      <c r="G45" s="6"/>
      <c r="H45" s="6"/>
      <c r="I45" s="6"/>
      <c r="J45" s="6"/>
    </row>
    <row r="46" spans="1:13" ht="15" customHeight="1" x14ac:dyDescent="0.2">
      <c r="A46" s="7" t="s">
        <v>205</v>
      </c>
      <c r="B46" s="6">
        <v>1</v>
      </c>
      <c r="C46" s="6"/>
      <c r="D46" s="6"/>
      <c r="E46" s="6">
        <v>1</v>
      </c>
      <c r="F46" s="6"/>
      <c r="G46" s="6"/>
      <c r="H46" s="6"/>
      <c r="I46" s="6"/>
      <c r="J46" s="6"/>
    </row>
    <row r="47" spans="1:13" ht="15" customHeight="1" x14ac:dyDescent="0.2">
      <c r="A47" s="7" t="s">
        <v>165</v>
      </c>
      <c r="B47" s="6">
        <v>1</v>
      </c>
      <c r="C47" s="6"/>
      <c r="D47" s="6"/>
      <c r="E47" s="6">
        <v>1</v>
      </c>
      <c r="F47" s="6"/>
      <c r="G47" s="6"/>
      <c r="H47" s="6"/>
      <c r="I47" s="6"/>
      <c r="J47" s="6"/>
    </row>
    <row r="48" spans="1:13" ht="15" customHeight="1" x14ac:dyDescent="0.2">
      <c r="A48" s="7" t="s">
        <v>328</v>
      </c>
      <c r="B48" s="6">
        <v>1</v>
      </c>
      <c r="C48" s="6"/>
      <c r="D48" s="6"/>
      <c r="E48" s="6">
        <v>1</v>
      </c>
      <c r="F48" s="6"/>
      <c r="G48" s="6"/>
      <c r="H48" s="6"/>
      <c r="I48" s="6"/>
      <c r="J48" s="6"/>
    </row>
    <row r="49" spans="1:13" ht="15" customHeight="1" x14ac:dyDescent="0.2">
      <c r="A49" s="7" t="s">
        <v>364</v>
      </c>
      <c r="B49" s="6">
        <v>1</v>
      </c>
      <c r="C49" s="6"/>
      <c r="D49" s="6"/>
      <c r="E49" s="6">
        <v>1</v>
      </c>
      <c r="F49" s="6"/>
      <c r="G49" s="6"/>
      <c r="H49" s="6"/>
      <c r="I49" s="6"/>
      <c r="J49" s="6"/>
    </row>
    <row r="50" spans="1:13" ht="15" customHeight="1" x14ac:dyDescent="0.2">
      <c r="A50" s="7" t="s">
        <v>329</v>
      </c>
      <c r="B50" s="6">
        <v>1</v>
      </c>
      <c r="C50" s="6"/>
      <c r="D50" s="6"/>
      <c r="E50" s="6">
        <v>1</v>
      </c>
      <c r="F50" s="6"/>
      <c r="G50" s="6"/>
      <c r="H50" s="6"/>
      <c r="I50" s="6"/>
      <c r="J50" s="6"/>
    </row>
    <row r="51" spans="1:13" ht="15" customHeight="1" x14ac:dyDescent="0.2">
      <c r="A51" s="8" t="s">
        <v>13</v>
      </c>
      <c r="B51" s="9"/>
      <c r="C51" s="10">
        <f>+C33/B33</f>
        <v>5.8823529411764705E-2</v>
      </c>
      <c r="D51" s="10">
        <f>+D33/B33</f>
        <v>5.8823529411764705E-2</v>
      </c>
      <c r="E51" s="10">
        <f>+E33/B33</f>
        <v>0.70588235294117652</v>
      </c>
      <c r="F51" s="9"/>
      <c r="G51" s="10">
        <f>(G33/F33)*0.4</f>
        <v>0.11451612903225808</v>
      </c>
      <c r="H51" s="10">
        <f>(H33/F33)*0.4</f>
        <v>0.12029032258064516</v>
      </c>
      <c r="I51" s="10">
        <f>+(I33/F33)*0.4</f>
        <v>0.2475806451612903</v>
      </c>
      <c r="J51" s="9"/>
      <c r="K51" s="10">
        <f>+(K33/J33)*0.4</f>
        <v>0.14718614718614717</v>
      </c>
      <c r="L51" s="10">
        <f>+(L33/J33)*0.4</f>
        <v>0.1568831168831169</v>
      </c>
      <c r="M51" s="10">
        <f>+(M33/J33)*0.4</f>
        <v>0.24588744588744588</v>
      </c>
    </row>
    <row r="52" spans="1:13" ht="15" customHeight="1" x14ac:dyDescent="0.2">
      <c r="A52" s="18" t="s">
        <v>7</v>
      </c>
      <c r="B52" s="6">
        <f>SUM(B53:B58)</f>
        <v>6</v>
      </c>
      <c r="C52" s="6">
        <f>SUM(C53:C58)</f>
        <v>1</v>
      </c>
      <c r="D52" s="6">
        <f>SUM(D53:D58)</f>
        <v>1</v>
      </c>
      <c r="E52" s="6">
        <f>SUM(E53:E58)</f>
        <v>5</v>
      </c>
      <c r="F52" s="6">
        <v>14045</v>
      </c>
      <c r="G52" s="6">
        <v>2205</v>
      </c>
      <c r="H52" s="6">
        <v>2555</v>
      </c>
      <c r="I52" s="6">
        <v>8265</v>
      </c>
      <c r="J52" s="6">
        <v>1305</v>
      </c>
      <c r="K52" s="6">
        <v>230</v>
      </c>
      <c r="L52" s="6">
        <v>265</v>
      </c>
      <c r="M52" s="6">
        <v>630</v>
      </c>
    </row>
    <row r="53" spans="1:13" ht="15" customHeight="1" x14ac:dyDescent="0.2">
      <c r="A53" s="7" t="s">
        <v>213</v>
      </c>
      <c r="B53" s="6">
        <v>1</v>
      </c>
      <c r="C53" s="6"/>
      <c r="D53" s="6"/>
      <c r="E53" s="6">
        <v>1</v>
      </c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228</v>
      </c>
      <c r="B54" s="6">
        <v>1</v>
      </c>
      <c r="C54" s="6">
        <v>1</v>
      </c>
      <c r="D54" s="6">
        <v>1</v>
      </c>
      <c r="E54" s="6">
        <v>1</v>
      </c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58</v>
      </c>
      <c r="B55" s="6">
        <v>1</v>
      </c>
      <c r="C55" s="6"/>
      <c r="D55" s="6"/>
      <c r="E55" s="6">
        <v>1</v>
      </c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308</v>
      </c>
      <c r="B56" s="6">
        <v>1</v>
      </c>
      <c r="C56" s="6"/>
      <c r="D56" s="6"/>
      <c r="E56" s="6">
        <v>1</v>
      </c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7" t="s">
        <v>518</v>
      </c>
      <c r="B57" s="6">
        <v>1</v>
      </c>
      <c r="C57" s="6"/>
      <c r="D57" s="6"/>
      <c r="E57" s="6">
        <v>1</v>
      </c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7" t="s">
        <v>244</v>
      </c>
      <c r="B58" s="6">
        <v>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8" t="s">
        <v>13</v>
      </c>
      <c r="B59" s="10"/>
      <c r="C59" s="14">
        <f>+C52/B52</f>
        <v>0.16666666666666666</v>
      </c>
      <c r="D59" s="14">
        <f>+D52/B52</f>
        <v>0.16666666666666666</v>
      </c>
      <c r="E59" s="10">
        <f>+E52/B52</f>
        <v>0.83333333333333337</v>
      </c>
      <c r="F59" s="10"/>
      <c r="G59" s="10">
        <f>+(G52/F52)*0.4</f>
        <v>6.279814880740478E-2</v>
      </c>
      <c r="H59" s="10">
        <f>+(H52/F52)*0.4</f>
        <v>7.2766108935564261E-2</v>
      </c>
      <c r="I59" s="10">
        <f>+(I52/F52)*0.4</f>
        <v>0.23538625845496619</v>
      </c>
      <c r="J59" s="10"/>
      <c r="K59" s="10">
        <f>+(K52/J52)*0.4</f>
        <v>7.0498084291187743E-2</v>
      </c>
      <c r="L59" s="10">
        <f>+(L52/J52)*0.4</f>
        <v>8.1226053639846751E-2</v>
      </c>
      <c r="M59" s="10">
        <f>+(M52/J52)*0.4</f>
        <v>0.19310344827586209</v>
      </c>
    </row>
    <row r="60" spans="1:13" ht="26.25" customHeight="1" x14ac:dyDescent="0.2">
      <c r="A60" s="15" t="s">
        <v>264</v>
      </c>
      <c r="B60" s="1">
        <f>B61</f>
        <v>1</v>
      </c>
      <c r="C60" s="1">
        <f>C61</f>
        <v>0</v>
      </c>
      <c r="D60" s="1">
        <f>D61</f>
        <v>0</v>
      </c>
      <c r="E60" s="1">
        <f>E61</f>
        <v>0</v>
      </c>
      <c r="F60" s="6">
        <v>3370</v>
      </c>
      <c r="G60" s="6">
        <v>450</v>
      </c>
      <c r="H60" s="6">
        <v>575</v>
      </c>
      <c r="I60" s="6">
        <v>135</v>
      </c>
      <c r="J60" s="6">
        <v>250</v>
      </c>
      <c r="K60" s="6">
        <v>55</v>
      </c>
      <c r="L60" s="6">
        <v>55</v>
      </c>
      <c r="M60" s="6">
        <v>0</v>
      </c>
    </row>
    <row r="61" spans="1:13" ht="15" customHeight="1" x14ac:dyDescent="0.2">
      <c r="A61" s="7" t="s">
        <v>404</v>
      </c>
      <c r="B61" s="1">
        <v>1</v>
      </c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8" t="s">
        <v>13</v>
      </c>
      <c r="B62" s="10"/>
      <c r="C62" s="10">
        <f>+C60/B60</f>
        <v>0</v>
      </c>
      <c r="D62" s="10">
        <f>+D60/B60</f>
        <v>0</v>
      </c>
      <c r="E62" s="10">
        <f>+E60/B60</f>
        <v>0</v>
      </c>
      <c r="F62" s="10"/>
      <c r="G62" s="10">
        <f>+(G60/F60)*0.4</f>
        <v>5.3412462908011875E-2</v>
      </c>
      <c r="H62" s="10">
        <f>+(H60/F60)*0.4</f>
        <v>6.82492581602374E-2</v>
      </c>
      <c r="I62" s="10">
        <f>+(I60/F60)*0.4</f>
        <v>1.6023738872403562E-2</v>
      </c>
      <c r="J62" s="10"/>
      <c r="K62" s="10">
        <f>+(K60/J60)*0.4</f>
        <v>8.8000000000000009E-2</v>
      </c>
      <c r="L62" s="10">
        <f>+(L60/J60)*0.4</f>
        <v>8.8000000000000009E-2</v>
      </c>
      <c r="M62" s="10">
        <f>+(M60/J60)*0.4</f>
        <v>0</v>
      </c>
    </row>
    <row r="63" spans="1:13" ht="27" customHeight="1" x14ac:dyDescent="0.2">
      <c r="A63" s="15" t="s">
        <v>265</v>
      </c>
      <c r="B63" s="6">
        <f>SUM(B64:B65)</f>
        <v>2</v>
      </c>
      <c r="C63" s="6">
        <f>SUM(C64:C65)</f>
        <v>1</v>
      </c>
      <c r="D63" s="6">
        <f>SUM(D64:D65)</f>
        <v>1</v>
      </c>
      <c r="E63" s="6">
        <f>SUM(E64:E65)</f>
        <v>2</v>
      </c>
      <c r="F63" s="6">
        <v>3735</v>
      </c>
      <c r="G63" s="6">
        <v>705</v>
      </c>
      <c r="H63" s="6">
        <v>899</v>
      </c>
      <c r="I63" s="6">
        <v>2060</v>
      </c>
      <c r="J63" s="6">
        <v>505</v>
      </c>
      <c r="K63" s="6">
        <v>160</v>
      </c>
      <c r="L63" s="6">
        <v>210</v>
      </c>
      <c r="M63" s="6">
        <v>255</v>
      </c>
    </row>
    <row r="64" spans="1:13" ht="15" customHeight="1" x14ac:dyDescent="0.2">
      <c r="A64" s="7" t="s">
        <v>405</v>
      </c>
      <c r="B64" s="6">
        <v>1</v>
      </c>
      <c r="C64" s="6">
        <v>1</v>
      </c>
      <c r="D64" s="6">
        <v>1</v>
      </c>
      <c r="E64" s="6">
        <v>1</v>
      </c>
      <c r="F64" s="6"/>
      <c r="G64" s="6"/>
      <c r="H64" s="6"/>
      <c r="I64" s="6"/>
      <c r="J64" s="6"/>
      <c r="K64" s="6"/>
      <c r="L64" s="6"/>
      <c r="M64" s="6"/>
    </row>
    <row r="65" spans="1:13" ht="15" customHeight="1" x14ac:dyDescent="0.2">
      <c r="A65" s="7" t="s">
        <v>406</v>
      </c>
      <c r="B65" s="6">
        <v>1</v>
      </c>
      <c r="C65" s="6"/>
      <c r="D65" s="6"/>
      <c r="E65" s="6">
        <v>1</v>
      </c>
      <c r="F65" s="6"/>
      <c r="G65" s="6"/>
      <c r="H65" s="6"/>
      <c r="I65" s="6"/>
      <c r="J65" s="6"/>
      <c r="K65" s="6"/>
      <c r="L65" s="6"/>
      <c r="M65" s="6"/>
    </row>
    <row r="66" spans="1:13" ht="15" customHeight="1" x14ac:dyDescent="0.2">
      <c r="A66" s="8" t="s">
        <v>13</v>
      </c>
      <c r="B66" s="10"/>
      <c r="C66" s="10">
        <f>+C63/B63</f>
        <v>0.5</v>
      </c>
      <c r="D66" s="10">
        <f>+D63/B63</f>
        <v>0.5</v>
      </c>
      <c r="E66" s="10">
        <f>+E63/B63</f>
        <v>1</v>
      </c>
      <c r="F66" s="10"/>
      <c r="G66" s="10">
        <f>+(G63/F63)*0.4</f>
        <v>7.5502008032128518E-2</v>
      </c>
      <c r="H66" s="10">
        <f>+(H63/F63)*0.4</f>
        <v>9.6278447121820626E-2</v>
      </c>
      <c r="I66" s="10">
        <f>+(I63/F63)*0.4</f>
        <v>0.22061579651941099</v>
      </c>
      <c r="J66" s="10"/>
      <c r="K66" s="10">
        <f>+(K63/J63)*0.4</f>
        <v>0.12673267326732673</v>
      </c>
      <c r="L66" s="10">
        <f>+(L63/J63)*0.4</f>
        <v>0.16633663366336635</v>
      </c>
      <c r="M66" s="10">
        <f>+(M63/J63)*0.4</f>
        <v>0.20198019801980199</v>
      </c>
    </row>
    <row r="67" spans="1:13" ht="15" customHeight="1" x14ac:dyDescent="0.2">
      <c r="A67" s="18" t="s">
        <v>122</v>
      </c>
      <c r="B67" s="6">
        <f>SUM(B68:B72)</f>
        <v>5</v>
      </c>
      <c r="C67" s="6">
        <f>SUM(C68:C72)</f>
        <v>3</v>
      </c>
      <c r="D67" s="6">
        <f>SUM(D68:D72)</f>
        <v>4</v>
      </c>
      <c r="E67" s="6">
        <f>SUM(E68:E72)</f>
        <v>3</v>
      </c>
      <c r="F67" s="6">
        <v>37740</v>
      </c>
      <c r="G67" s="6">
        <v>4130</v>
      </c>
      <c r="H67" s="6">
        <v>5530</v>
      </c>
      <c r="I67" s="6">
        <v>11875</v>
      </c>
      <c r="J67" s="6">
        <v>5550</v>
      </c>
      <c r="K67" s="6">
        <v>375</v>
      </c>
      <c r="L67" s="6">
        <v>775</v>
      </c>
      <c r="M67" s="6">
        <v>1580</v>
      </c>
    </row>
    <row r="68" spans="1:13" ht="15" customHeight="1" x14ac:dyDescent="0.2">
      <c r="A68" s="24" t="s">
        <v>410</v>
      </c>
      <c r="B68" s="6">
        <v>1</v>
      </c>
      <c r="C68" s="6">
        <v>1</v>
      </c>
      <c r="D68" s="6">
        <v>1</v>
      </c>
      <c r="E68" s="6">
        <v>1</v>
      </c>
      <c r="F68" s="6"/>
      <c r="G68" s="6"/>
      <c r="H68" s="6"/>
      <c r="I68" s="6"/>
      <c r="J68" s="6"/>
      <c r="K68" s="6"/>
      <c r="L68" s="6"/>
      <c r="M68" s="6"/>
    </row>
    <row r="69" spans="1:13" ht="15" customHeight="1" x14ac:dyDescent="0.2">
      <c r="A69" s="7" t="s">
        <v>99</v>
      </c>
      <c r="B69" s="6">
        <v>1</v>
      </c>
      <c r="C69" s="6">
        <v>1</v>
      </c>
      <c r="D69" s="6">
        <v>1</v>
      </c>
      <c r="E69" s="6">
        <v>1</v>
      </c>
      <c r="F69" s="6"/>
      <c r="G69" s="6"/>
      <c r="H69" s="6"/>
      <c r="I69" s="6"/>
      <c r="J69" s="6"/>
      <c r="K69" s="6"/>
      <c r="L69" s="6"/>
      <c r="M69" s="6"/>
    </row>
    <row r="70" spans="1:13" ht="15" customHeight="1" x14ac:dyDescent="0.2">
      <c r="A70" s="7" t="s">
        <v>397</v>
      </c>
      <c r="B70" s="6">
        <v>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5" customHeight="1" x14ac:dyDescent="0.2">
      <c r="A71" s="7" t="s">
        <v>519</v>
      </c>
      <c r="B71" s="6">
        <v>1</v>
      </c>
      <c r="C71" s="6"/>
      <c r="D71" s="6">
        <v>1</v>
      </c>
      <c r="E71" s="6"/>
      <c r="F71" s="6"/>
      <c r="G71" s="6"/>
      <c r="H71" s="6"/>
      <c r="I71" s="6"/>
      <c r="J71" s="6"/>
      <c r="K71" s="6"/>
      <c r="L71" s="6"/>
      <c r="M71" s="6"/>
    </row>
    <row r="72" spans="1:13" ht="15" customHeight="1" x14ac:dyDescent="0.2">
      <c r="A72" s="7" t="s">
        <v>309</v>
      </c>
      <c r="B72" s="6">
        <v>1</v>
      </c>
      <c r="C72" s="6">
        <v>1</v>
      </c>
      <c r="D72" s="6">
        <v>1</v>
      </c>
      <c r="E72" s="6">
        <v>1</v>
      </c>
      <c r="F72" s="6"/>
      <c r="G72" s="6"/>
      <c r="H72" s="6"/>
      <c r="I72" s="6"/>
      <c r="J72" s="6"/>
      <c r="K72" s="6"/>
      <c r="L72" s="6"/>
      <c r="M72" s="6"/>
    </row>
    <row r="73" spans="1:13" ht="15" customHeight="1" x14ac:dyDescent="0.2">
      <c r="A73" s="8" t="s">
        <v>13</v>
      </c>
      <c r="B73" s="10"/>
      <c r="C73" s="10">
        <f>+C67/B67</f>
        <v>0.6</v>
      </c>
      <c r="D73" s="10">
        <f>+D67/B67</f>
        <v>0.8</v>
      </c>
      <c r="E73" s="10">
        <f>+E67/B67</f>
        <v>0.6</v>
      </c>
      <c r="F73" s="10"/>
      <c r="G73" s="10">
        <f>+(G67/F67)*0.4</f>
        <v>4.3773184949655541E-2</v>
      </c>
      <c r="H73" s="10">
        <f>+(H67/F67)*0.4</f>
        <v>5.8611552729199795E-2</v>
      </c>
      <c r="I73" s="10">
        <f>+(I67/F67)*0.4</f>
        <v>0.12586115527291999</v>
      </c>
      <c r="J73" s="10"/>
      <c r="K73" s="10">
        <f>+(K67/J67)*0.4</f>
        <v>2.7027027027027029E-2</v>
      </c>
      <c r="L73" s="10">
        <f>+(L67/J67)*0.4</f>
        <v>5.5855855855855854E-2</v>
      </c>
      <c r="M73" s="10">
        <f>+(M67/J67)*0.4</f>
        <v>0.11387387387387388</v>
      </c>
    </row>
    <row r="74" spans="1:13" ht="15" customHeight="1" x14ac:dyDescent="0.2">
      <c r="A74" s="18" t="s">
        <v>272</v>
      </c>
      <c r="B74" s="6">
        <f>SUM(B75:B75)</f>
        <v>1</v>
      </c>
      <c r="C74" s="6">
        <f>SUM(C75:C75)</f>
        <v>0</v>
      </c>
      <c r="D74" s="6">
        <f>SUM(D75:D75)</f>
        <v>0</v>
      </c>
      <c r="E74" s="6">
        <f>SUM(E75:E75)</f>
        <v>1</v>
      </c>
      <c r="F74" s="6">
        <v>900</v>
      </c>
      <c r="G74" s="6">
        <v>70</v>
      </c>
      <c r="H74" s="6">
        <v>110</v>
      </c>
      <c r="I74" s="6">
        <v>795</v>
      </c>
      <c r="J74" s="6">
        <v>70</v>
      </c>
      <c r="K74" s="6">
        <v>0</v>
      </c>
      <c r="L74" s="6">
        <v>0</v>
      </c>
      <c r="M74" s="6">
        <v>70</v>
      </c>
    </row>
    <row r="75" spans="1:13" ht="15" customHeight="1" x14ac:dyDescent="0.2">
      <c r="A75" s="7" t="s">
        <v>227</v>
      </c>
      <c r="B75" s="6">
        <v>1</v>
      </c>
      <c r="C75" s="6"/>
      <c r="D75" s="6"/>
      <c r="E75" s="6">
        <v>1</v>
      </c>
      <c r="F75" s="6"/>
      <c r="G75" s="6"/>
      <c r="H75" s="6"/>
      <c r="I75" s="6"/>
      <c r="J75" s="6"/>
      <c r="K75" s="6"/>
      <c r="L75" s="6"/>
      <c r="M75" s="6"/>
    </row>
    <row r="76" spans="1:13" ht="15" customHeight="1" x14ac:dyDescent="0.2">
      <c r="A76" s="8" t="s">
        <v>13</v>
      </c>
      <c r="B76" s="10"/>
      <c r="C76" s="10">
        <f>+C74/B74</f>
        <v>0</v>
      </c>
      <c r="D76" s="10">
        <f>+D74/B74</f>
        <v>0</v>
      </c>
      <c r="E76" s="10">
        <f>+E74/B74</f>
        <v>1</v>
      </c>
      <c r="F76" s="10"/>
      <c r="G76" s="10">
        <f>+(G74/F74)*0.5</f>
        <v>3.888888888888889E-2</v>
      </c>
      <c r="H76" s="10">
        <f>+(H74/F74)*0.5</f>
        <v>6.1111111111111109E-2</v>
      </c>
      <c r="I76" s="10">
        <f>+(I74/F74)*0.5</f>
        <v>0.44166666666666665</v>
      </c>
      <c r="J76" s="10"/>
      <c r="K76" s="10">
        <f>+(K74/J74)*0.3</f>
        <v>0</v>
      </c>
      <c r="L76" s="10">
        <f>+(L74/J74)*0.3</f>
        <v>0</v>
      </c>
      <c r="M76" s="10">
        <f>+(M74/J74)*0.3</f>
        <v>0.3</v>
      </c>
    </row>
    <row r="77" spans="1:13" ht="15" customHeight="1" x14ac:dyDescent="0.2">
      <c r="A77" s="18" t="s">
        <v>255</v>
      </c>
      <c r="B77" s="6">
        <f>SUM(B78:B80)</f>
        <v>3</v>
      </c>
      <c r="C77" s="6">
        <f>SUM(C79:C80)</f>
        <v>0</v>
      </c>
      <c r="D77" s="6">
        <f>SUM(D79:D80)</f>
        <v>0</v>
      </c>
      <c r="E77" s="6">
        <f>SUM(E78:E80)</f>
        <v>3</v>
      </c>
      <c r="F77" s="6">
        <v>595</v>
      </c>
      <c r="G77" s="6">
        <v>100</v>
      </c>
      <c r="H77" s="6">
        <v>150</v>
      </c>
      <c r="I77" s="6">
        <v>310</v>
      </c>
      <c r="J77" s="6">
        <v>50</v>
      </c>
      <c r="K77" s="6">
        <v>10</v>
      </c>
      <c r="L77" s="6">
        <v>10</v>
      </c>
      <c r="M77" s="6">
        <v>30</v>
      </c>
    </row>
    <row r="78" spans="1:13" ht="15" customHeight="1" x14ac:dyDescent="0.2">
      <c r="A78" s="19" t="s">
        <v>407</v>
      </c>
      <c r="B78" s="13">
        <v>1</v>
      </c>
      <c r="C78" s="13"/>
      <c r="D78" s="13"/>
      <c r="E78" s="13">
        <v>1</v>
      </c>
      <c r="F78" s="6"/>
      <c r="G78" s="6"/>
      <c r="H78" s="6"/>
      <c r="I78" s="6"/>
      <c r="J78" s="6"/>
      <c r="K78" s="6"/>
      <c r="L78" s="6"/>
      <c r="M78" s="6"/>
    </row>
    <row r="79" spans="1:13" s="13" customFormat="1" ht="15" customHeight="1" x14ac:dyDescent="0.2">
      <c r="A79" s="19" t="s">
        <v>229</v>
      </c>
      <c r="B79" s="13">
        <v>1</v>
      </c>
      <c r="E79" s="13">
        <v>1</v>
      </c>
    </row>
    <row r="80" spans="1:13" s="13" customFormat="1" ht="15" customHeight="1" x14ac:dyDescent="0.2">
      <c r="A80" s="19" t="s">
        <v>307</v>
      </c>
      <c r="B80" s="13">
        <v>1</v>
      </c>
      <c r="E80" s="13">
        <v>1</v>
      </c>
    </row>
    <row r="81" spans="1:13" ht="15" customHeight="1" x14ac:dyDescent="0.2">
      <c r="A81" s="8" t="s">
        <v>13</v>
      </c>
      <c r="B81" s="10"/>
      <c r="C81" s="10">
        <f>+C77/B77</f>
        <v>0</v>
      </c>
      <c r="D81" s="10">
        <f>+D77/B77</f>
        <v>0</v>
      </c>
      <c r="E81" s="10">
        <f>+E77/B77</f>
        <v>1</v>
      </c>
      <c r="F81" s="10"/>
      <c r="G81" s="10">
        <f>+(G77/F77)*0.4</f>
        <v>6.7226890756302532E-2</v>
      </c>
      <c r="H81" s="10">
        <f>+(H77/F77)*0.4</f>
        <v>0.10084033613445378</v>
      </c>
      <c r="I81" s="10">
        <f>+(I77/F77)*0.4</f>
        <v>0.20840336134453785</v>
      </c>
      <c r="J81" s="10"/>
      <c r="K81" s="10">
        <f>+(K77/J77)*0.4</f>
        <v>8.0000000000000016E-2</v>
      </c>
      <c r="L81" s="10">
        <f>+(L77/J77)*0.4</f>
        <v>8.0000000000000016E-2</v>
      </c>
      <c r="M81" s="10">
        <f>+(M77/J77)*0.4</f>
        <v>0.24</v>
      </c>
    </row>
    <row r="82" spans="1:13" ht="15" customHeight="1" x14ac:dyDescent="0.2">
      <c r="A82" s="18" t="s">
        <v>57</v>
      </c>
      <c r="B82" s="6">
        <f>SUM(B83:B84)</f>
        <v>1</v>
      </c>
      <c r="C82" s="6">
        <f>SUM(C83:C83)</f>
        <v>1</v>
      </c>
      <c r="D82" s="6">
        <f>SUM(D83:D83)</f>
        <v>1</v>
      </c>
      <c r="E82" s="6">
        <f>SUM(E83:E83)</f>
        <v>0</v>
      </c>
      <c r="F82" s="6">
        <v>2570</v>
      </c>
      <c r="G82" s="6">
        <v>445</v>
      </c>
      <c r="H82" s="6">
        <v>540</v>
      </c>
      <c r="I82" s="6">
        <v>1165</v>
      </c>
      <c r="J82" s="6">
        <v>775</v>
      </c>
      <c r="K82" s="6">
        <v>185</v>
      </c>
      <c r="L82" s="6">
        <v>214</v>
      </c>
      <c r="M82" s="6">
        <v>380</v>
      </c>
    </row>
    <row r="83" spans="1:13" ht="15" customHeight="1" x14ac:dyDescent="0.2">
      <c r="A83" s="19" t="s">
        <v>230</v>
      </c>
      <c r="B83" s="6">
        <v>1</v>
      </c>
      <c r="C83" s="6">
        <v>1</v>
      </c>
      <c r="D83" s="6">
        <v>1</v>
      </c>
      <c r="E83" s="6"/>
      <c r="F83" s="6"/>
      <c r="G83" s="6"/>
      <c r="H83" s="6"/>
      <c r="I83" s="6"/>
      <c r="J83" s="6"/>
      <c r="K83" s="6"/>
      <c r="L83" s="6"/>
      <c r="M83" s="6"/>
    </row>
    <row r="84" spans="1:13" ht="15" customHeight="1" x14ac:dyDescent="0.2">
      <c r="A84" s="8" t="s">
        <v>13</v>
      </c>
      <c r="B84" s="10"/>
      <c r="C84" s="10">
        <f>+C82/B82</f>
        <v>1</v>
      </c>
      <c r="D84" s="10">
        <f>+D82/B82</f>
        <v>1</v>
      </c>
      <c r="E84" s="10">
        <f>+E82/B82</f>
        <v>0</v>
      </c>
      <c r="F84" s="10"/>
      <c r="G84" s="10">
        <f>+(G82/F82)*0.4</f>
        <v>6.9260700389105062E-2</v>
      </c>
      <c r="H84" s="10">
        <f>+(H82/F82)*0.4</f>
        <v>8.4046692607003898E-2</v>
      </c>
      <c r="I84" s="10">
        <f>+(I82/F82)*0.4</f>
        <v>0.1813229571984436</v>
      </c>
      <c r="J84" s="10"/>
      <c r="K84" s="10">
        <f>+(K82/J82)*0.4</f>
        <v>9.5483870967741941E-2</v>
      </c>
      <c r="L84" s="10">
        <f>+(L82/J82)*0.4</f>
        <v>0.1104516129032258</v>
      </c>
      <c r="M84" s="10">
        <f>+(M82/J82)*0.4</f>
        <v>0.19612903225806452</v>
      </c>
    </row>
    <row r="85" spans="1:13" ht="25.5" customHeight="1" x14ac:dyDescent="0.2">
      <c r="A85" s="15" t="s">
        <v>266</v>
      </c>
      <c r="B85" s="6"/>
      <c r="C85" s="6"/>
      <c r="D85" s="6"/>
      <c r="E85" s="6"/>
      <c r="F85" s="6">
        <v>1600</v>
      </c>
      <c r="G85" s="6">
        <v>390</v>
      </c>
      <c r="H85" s="6">
        <v>454</v>
      </c>
      <c r="I85" s="6">
        <v>120</v>
      </c>
      <c r="J85" s="6">
        <v>60</v>
      </c>
      <c r="K85" s="6">
        <v>25</v>
      </c>
      <c r="L85" s="6">
        <v>25</v>
      </c>
      <c r="M85" s="6">
        <v>0</v>
      </c>
    </row>
    <row r="86" spans="1:13" ht="15" customHeight="1" x14ac:dyDescent="0.2">
      <c r="A86" s="8" t="s">
        <v>13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15" customHeight="1" x14ac:dyDescent="0.2">
      <c r="A87" s="2" t="s">
        <v>12</v>
      </c>
      <c r="B87" s="6">
        <f>+B82+B77+B74+B67+B63+B60+B52+B33+B30+B27+B20+B15+B12+B7</f>
        <v>61</v>
      </c>
      <c r="C87" s="6">
        <f t="shared" ref="C87:M87" si="0">+C7+C12+C15+C20+C27+C33+C52+C60+C63+C77+C82+C85+C30+C74+C67</f>
        <v>8</v>
      </c>
      <c r="D87" s="6">
        <f t="shared" si="0"/>
        <v>10</v>
      </c>
      <c r="E87" s="6">
        <f t="shared" si="0"/>
        <v>34</v>
      </c>
      <c r="F87" s="6">
        <f t="shared" si="0"/>
        <v>107885</v>
      </c>
      <c r="G87" s="6">
        <f t="shared" si="0"/>
        <v>17200</v>
      </c>
      <c r="H87" s="6">
        <f t="shared" si="0"/>
        <v>20554</v>
      </c>
      <c r="I87" s="6">
        <f t="shared" si="0"/>
        <v>41750</v>
      </c>
      <c r="J87" s="6">
        <f t="shared" si="0"/>
        <v>13200</v>
      </c>
      <c r="K87" s="6">
        <f t="shared" si="0"/>
        <v>1960</v>
      </c>
      <c r="L87" s="6">
        <f t="shared" si="0"/>
        <v>2661</v>
      </c>
      <c r="M87" s="6">
        <f t="shared" si="0"/>
        <v>4750</v>
      </c>
    </row>
    <row r="88" spans="1:13" ht="15" customHeight="1" x14ac:dyDescent="0.2">
      <c r="A88" s="8" t="s">
        <v>13</v>
      </c>
      <c r="B88" s="14"/>
      <c r="C88" s="14">
        <f>+C87/B87</f>
        <v>0.13114754098360656</v>
      </c>
      <c r="D88" s="14">
        <f>+D87/B87</f>
        <v>0.16393442622950818</v>
      </c>
      <c r="E88" s="14">
        <f>+E87/B87</f>
        <v>0.55737704918032782</v>
      </c>
      <c r="F88" s="14"/>
      <c r="G88" s="14">
        <f t="shared" ref="G88:K88" si="1">+(G87/F87)*0.4</f>
        <v>6.3771608657366641E-2</v>
      </c>
      <c r="H88" s="14">
        <f>+(H87/F87)*0.4</f>
        <v>7.6207072345553142E-2</v>
      </c>
      <c r="I88" s="14">
        <f>+(I87/F87)*0.4</f>
        <v>0.15479445706075914</v>
      </c>
      <c r="J88" s="14"/>
      <c r="K88" s="14">
        <f t="shared" si="1"/>
        <v>5.9393939393939402E-2</v>
      </c>
      <c r="L88" s="14">
        <f>+(L87/J87)*0.4</f>
        <v>8.0636363636363645E-2</v>
      </c>
      <c r="M88" s="14">
        <f>+(M87/J87)*0.4</f>
        <v>0.14393939393939395</v>
      </c>
    </row>
    <row r="90" spans="1:13" ht="15" customHeight="1" x14ac:dyDescent="0.2">
      <c r="A90" s="2" t="s">
        <v>14</v>
      </c>
      <c r="B90" s="2" t="s">
        <v>3</v>
      </c>
      <c r="C90" s="2" t="s">
        <v>55</v>
      </c>
      <c r="D90" s="2" t="s">
        <v>4</v>
      </c>
    </row>
    <row r="92" spans="1:13" ht="15" customHeight="1" x14ac:dyDescent="0.2">
      <c r="A92" s="1" t="s">
        <v>87</v>
      </c>
      <c r="B92" s="16">
        <f>+G88</f>
        <v>6.3771608657366641E-2</v>
      </c>
      <c r="C92" s="16">
        <f>+H88</f>
        <v>7.6207072345553142E-2</v>
      </c>
      <c r="D92" s="16">
        <f>+I88</f>
        <v>0.15479445706075914</v>
      </c>
    </row>
    <row r="93" spans="1:13" ht="15" customHeight="1" x14ac:dyDescent="0.2">
      <c r="A93" s="1" t="s">
        <v>20</v>
      </c>
      <c r="B93" s="16">
        <f>+K88</f>
        <v>5.9393939393939402E-2</v>
      </c>
      <c r="C93" s="16">
        <f>+L88</f>
        <v>8.0636363636363645E-2</v>
      </c>
      <c r="D93" s="16">
        <f>+M88</f>
        <v>0.14393939393939395</v>
      </c>
    </row>
    <row r="94" spans="1:13" ht="15" customHeight="1" x14ac:dyDescent="0.2">
      <c r="A94" s="1" t="s">
        <v>21</v>
      </c>
      <c r="B94" s="16">
        <v>3.1699999999999999E-2</v>
      </c>
      <c r="C94" s="16">
        <v>4.07E-2</v>
      </c>
      <c r="D94" s="16">
        <v>0.1236</v>
      </c>
    </row>
    <row r="95" spans="1:13" ht="15" customHeight="1" x14ac:dyDescent="0.2">
      <c r="A95" s="17" t="s">
        <v>12</v>
      </c>
      <c r="B95" s="14">
        <f>SUM(B92:B94)</f>
        <v>0.15486554805130603</v>
      </c>
      <c r="C95" s="14">
        <f>SUM(C92:C94)</f>
        <v>0.19754343598191682</v>
      </c>
      <c r="D95" s="14">
        <f>SUM(D92:D94)</f>
        <v>0.42233385100015308</v>
      </c>
    </row>
  </sheetData>
  <sortState ref="A52:M58">
    <sortCondition ref="A52:A58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25"/>
  <pageSetup scale="98" orientation="landscape" r:id="rId1"/>
  <headerFooter alignWithMargins="0">
    <oddHeader>&amp;C&amp;"Times New Roman,Bold"&amp;11AVAILABILITY ANALYSIS - 08/31/2018
&amp;REXHIBIT 5</oddHeader>
    <oddFooter>&amp;RUpdated: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showWhiteSpace="0" topLeftCell="A109" zoomScaleNormal="100" workbookViewId="0">
      <selection activeCell="D148" sqref="D148"/>
    </sheetView>
  </sheetViews>
  <sheetFormatPr defaultColWidth="9.33203125" defaultRowHeight="15" customHeight="1" x14ac:dyDescent="0.2"/>
  <cols>
    <col min="1" max="1" width="41.6640625" style="1" customWidth="1"/>
    <col min="2" max="2" width="8.5" style="1" bestFit="1" customWidth="1"/>
    <col min="3" max="3" width="10.33203125" style="1" bestFit="1" customWidth="1"/>
    <col min="4" max="4" width="11.1640625" style="1" bestFit="1" customWidth="1"/>
    <col min="5" max="5" width="10.33203125" style="1" bestFit="1" customWidth="1"/>
    <col min="6" max="6" width="9.1640625" style="1" bestFit="1" customWidth="1"/>
    <col min="7" max="9" width="10.33203125" style="1" bestFit="1" customWidth="1"/>
    <col min="10" max="10" width="9" style="1" bestFit="1" customWidth="1"/>
    <col min="11" max="11" width="9" style="1" customWidth="1"/>
    <col min="12" max="12" width="8.83203125" style="1" customWidth="1"/>
    <col min="13" max="13" width="9.6640625" style="1" bestFit="1" customWidth="1"/>
    <col min="14" max="16384" width="9.33203125" style="1"/>
  </cols>
  <sheetData>
    <row r="1" spans="1:13" ht="15" customHeight="1" x14ac:dyDescent="0.2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5</v>
      </c>
      <c r="G5" s="46"/>
      <c r="H5" s="46"/>
      <c r="I5" s="46"/>
      <c r="J5" s="46" t="s">
        <v>19</v>
      </c>
      <c r="K5" s="46"/>
      <c r="L5" s="46"/>
      <c r="M5" s="46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55</v>
      </c>
      <c r="E6" s="3" t="s">
        <v>4</v>
      </c>
      <c r="F6" s="3" t="s">
        <v>8</v>
      </c>
      <c r="G6" s="3" t="s">
        <v>3</v>
      </c>
      <c r="H6" s="3" t="s">
        <v>55</v>
      </c>
      <c r="I6" s="3" t="s">
        <v>4</v>
      </c>
      <c r="J6" s="3" t="s">
        <v>8</v>
      </c>
      <c r="K6" s="3" t="s">
        <v>3</v>
      </c>
      <c r="L6" s="3" t="s">
        <v>55</v>
      </c>
      <c r="M6" s="3" t="s">
        <v>4</v>
      </c>
    </row>
    <row r="7" spans="1:13" ht="15" customHeight="1" x14ac:dyDescent="0.2">
      <c r="A7" s="5" t="s">
        <v>61</v>
      </c>
      <c r="B7" s="6">
        <f>SUM(B8:B12)</f>
        <v>6</v>
      </c>
      <c r="C7" s="6">
        <f>SUM(C8:C12)</f>
        <v>2</v>
      </c>
      <c r="D7" s="6">
        <f>SUM(D8:D12)</f>
        <v>4</v>
      </c>
      <c r="E7" s="6">
        <f>SUM(E8:E12)</f>
        <v>5</v>
      </c>
      <c r="F7" s="6">
        <v>24340</v>
      </c>
      <c r="G7" s="6">
        <v>3510</v>
      </c>
      <c r="H7" s="6">
        <v>4205</v>
      </c>
      <c r="I7" s="6">
        <v>16235</v>
      </c>
      <c r="J7" s="6">
        <v>3070</v>
      </c>
      <c r="K7" s="6">
        <v>420</v>
      </c>
      <c r="L7" s="6">
        <v>525</v>
      </c>
      <c r="M7" s="6">
        <v>2150</v>
      </c>
    </row>
    <row r="8" spans="1:13" ht="15" customHeight="1" x14ac:dyDescent="0.2">
      <c r="A8" s="7" t="s">
        <v>331</v>
      </c>
      <c r="B8" s="6">
        <v>1</v>
      </c>
      <c r="C8" s="6">
        <v>1</v>
      </c>
      <c r="D8" s="6">
        <v>1</v>
      </c>
      <c r="E8" s="6">
        <v>1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498</v>
      </c>
      <c r="B9" s="6">
        <v>1</v>
      </c>
      <c r="C9" s="6">
        <v>1</v>
      </c>
      <c r="D9" s="6">
        <v>1</v>
      </c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288</v>
      </c>
      <c r="B10" s="6">
        <v>1</v>
      </c>
      <c r="C10" s="6"/>
      <c r="D10" s="6"/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62</v>
      </c>
      <c r="B11" s="6">
        <v>2</v>
      </c>
      <c r="C11" s="6"/>
      <c r="D11" s="6">
        <v>1</v>
      </c>
      <c r="E11" s="6">
        <v>2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7" t="s">
        <v>339</v>
      </c>
      <c r="B12" s="6">
        <v>1</v>
      </c>
      <c r="C12" s="6"/>
      <c r="D12" s="6">
        <v>1</v>
      </c>
      <c r="E12" s="6">
        <v>1</v>
      </c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8" t="s">
        <v>13</v>
      </c>
      <c r="B13" s="9"/>
      <c r="C13" s="10">
        <f>+C7/B7</f>
        <v>0.33333333333333331</v>
      </c>
      <c r="D13" s="10">
        <f>+D7/B7</f>
        <v>0.66666666666666663</v>
      </c>
      <c r="E13" s="10">
        <f>+E7/B7</f>
        <v>0.83333333333333337</v>
      </c>
      <c r="F13" s="9"/>
      <c r="G13" s="10">
        <f>(G7/F7)*0.4</f>
        <v>5.7682826622843054E-2</v>
      </c>
      <c r="H13" s="10">
        <f>(H7/F7)*0.4</f>
        <v>6.9104354971240761E-2</v>
      </c>
      <c r="I13" s="10">
        <f>+(I7/F7)*0.4</f>
        <v>0.26680361544782255</v>
      </c>
      <c r="J13" s="9"/>
      <c r="K13" s="10">
        <f>+(K7/J7)*0.4</f>
        <v>5.4723127035830627E-2</v>
      </c>
      <c r="L13" s="10">
        <f>+(L7/J7)*0.4</f>
        <v>6.8403908794788276E-2</v>
      </c>
      <c r="M13" s="10">
        <f>+(M7/J7)*0.4</f>
        <v>0.28013029315960913</v>
      </c>
    </row>
    <row r="14" spans="1:13" ht="15" customHeight="1" x14ac:dyDescent="0.2">
      <c r="A14" s="5" t="s">
        <v>262</v>
      </c>
      <c r="B14" s="6">
        <f>B15</f>
        <v>1</v>
      </c>
      <c r="C14" s="6">
        <f>C15</f>
        <v>0</v>
      </c>
      <c r="D14" s="6">
        <f>D15</f>
        <v>0</v>
      </c>
      <c r="E14" s="6">
        <f>E15</f>
        <v>0</v>
      </c>
      <c r="F14" s="6">
        <v>1375</v>
      </c>
      <c r="G14" s="6">
        <v>95</v>
      </c>
      <c r="H14" s="6">
        <v>175</v>
      </c>
      <c r="I14" s="6">
        <v>240</v>
      </c>
      <c r="J14" s="6">
        <v>235</v>
      </c>
      <c r="K14" s="6">
        <v>0</v>
      </c>
      <c r="L14" s="6">
        <v>40</v>
      </c>
      <c r="M14" s="6">
        <v>70</v>
      </c>
    </row>
    <row r="15" spans="1:13" ht="15" customHeight="1" x14ac:dyDescent="0.2">
      <c r="A15" s="7" t="s">
        <v>499</v>
      </c>
      <c r="B15" s="6">
        <v>1</v>
      </c>
      <c r="C15" s="6"/>
      <c r="D15" s="6"/>
      <c r="E15" s="6"/>
      <c r="F15" s="6"/>
      <c r="G15" s="6"/>
      <c r="H15" s="6"/>
      <c r="I15" s="6"/>
      <c r="J15" s="6"/>
    </row>
    <row r="16" spans="1:13" ht="15" customHeight="1" x14ac:dyDescent="0.2">
      <c r="A16" s="8" t="s">
        <v>13</v>
      </c>
      <c r="B16" s="9"/>
      <c r="C16" s="10">
        <f>+C14/B14</f>
        <v>0</v>
      </c>
      <c r="D16" s="10">
        <f>+D14/B14</f>
        <v>0</v>
      </c>
      <c r="E16" s="10">
        <f>+E14/B14</f>
        <v>0</v>
      </c>
      <c r="F16" s="9"/>
      <c r="G16" s="10">
        <f>(G14/F14)*0.4</f>
        <v>2.7636363636363639E-2</v>
      </c>
      <c r="H16" s="10">
        <f>(H14/F14)*0.4</f>
        <v>5.0909090909090904E-2</v>
      </c>
      <c r="I16" s="10">
        <f>+(I14/F14)*0.4</f>
        <v>6.9818181818181821E-2</v>
      </c>
      <c r="J16" s="9"/>
      <c r="K16" s="10">
        <f>+(K14/J14)*0.4</f>
        <v>0</v>
      </c>
      <c r="L16" s="10">
        <f>+(L14/J14)*0.4</f>
        <v>6.8085106382978725E-2</v>
      </c>
      <c r="M16" s="10">
        <f>+(M14/J14)*0.4</f>
        <v>0.11914893617021277</v>
      </c>
    </row>
    <row r="17" spans="1:13" s="21" customFormat="1" ht="15" customHeight="1" x14ac:dyDescent="0.2">
      <c r="A17" s="20" t="s">
        <v>114</v>
      </c>
      <c r="B17" s="21">
        <f>SUM(B18:B21)</f>
        <v>7</v>
      </c>
      <c r="C17" s="21">
        <f t="shared" ref="C17:E17" si="0">SUM(C18:C21)</f>
        <v>0</v>
      </c>
      <c r="D17" s="21">
        <f t="shared" si="0"/>
        <v>0</v>
      </c>
      <c r="E17" s="21">
        <f t="shared" si="0"/>
        <v>3</v>
      </c>
      <c r="F17" s="21">
        <v>3540</v>
      </c>
      <c r="G17" s="21">
        <v>725</v>
      </c>
      <c r="H17" s="21">
        <v>872</v>
      </c>
      <c r="I17" s="21">
        <v>1185</v>
      </c>
      <c r="J17" s="21">
        <v>420</v>
      </c>
      <c r="K17" s="21">
        <v>130</v>
      </c>
      <c r="L17" s="21">
        <v>150</v>
      </c>
      <c r="M17" s="21">
        <v>80</v>
      </c>
    </row>
    <row r="18" spans="1:13" ht="15" customHeight="1" x14ac:dyDescent="0.2">
      <c r="A18" s="7" t="s">
        <v>115</v>
      </c>
      <c r="B18" s="6">
        <v>4</v>
      </c>
      <c r="C18" s="6"/>
      <c r="D18" s="6"/>
      <c r="E18" s="6">
        <v>2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7" t="s">
        <v>411</v>
      </c>
      <c r="B19" s="6">
        <v>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2">
      <c r="A20" s="7" t="s">
        <v>337</v>
      </c>
      <c r="B20" s="6">
        <v>1</v>
      </c>
      <c r="C20" s="6"/>
      <c r="D20" s="6"/>
      <c r="E20" s="6">
        <v>1</v>
      </c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7" t="s">
        <v>425</v>
      </c>
      <c r="B21" s="6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8" t="s">
        <v>13</v>
      </c>
      <c r="B22" s="14"/>
      <c r="C22" s="14">
        <f>+C17/B17</f>
        <v>0</v>
      </c>
      <c r="D22" s="14">
        <f>+D17/B17</f>
        <v>0</v>
      </c>
      <c r="E22" s="14">
        <f>+E17/B17</f>
        <v>0.42857142857142855</v>
      </c>
      <c r="F22" s="14"/>
      <c r="G22" s="14">
        <f>+(G17/F17)*0.4</f>
        <v>8.1920903954802268E-2</v>
      </c>
      <c r="H22" s="14">
        <f>+(H17/F17)*0.4</f>
        <v>9.8531073446327694E-2</v>
      </c>
      <c r="I22" s="14">
        <f>+(I17/F17)*0.4</f>
        <v>0.13389830508474576</v>
      </c>
      <c r="J22" s="14"/>
      <c r="K22" s="14">
        <f>+(K17/J17)*0.4</f>
        <v>0.12380952380952381</v>
      </c>
      <c r="L22" s="14">
        <f>+(L17/J17)*0.4</f>
        <v>0.14285714285714288</v>
      </c>
      <c r="M22" s="14">
        <f>+(M17/J17)*0.4</f>
        <v>7.6190476190476197E-2</v>
      </c>
    </row>
    <row r="23" spans="1:13" ht="15" customHeight="1" x14ac:dyDescent="0.2">
      <c r="A23" s="18" t="s">
        <v>116</v>
      </c>
      <c r="B23" s="6">
        <f>SUM(B24:B24)</f>
        <v>2</v>
      </c>
      <c r="C23" s="6">
        <f>SUM(C24:C24)</f>
        <v>0</v>
      </c>
      <c r="D23" s="6">
        <f>SUM(D24:D24)</f>
        <v>0</v>
      </c>
      <c r="E23" s="6">
        <f>SUM(E24:E24)</f>
        <v>1</v>
      </c>
      <c r="F23" s="6">
        <v>755</v>
      </c>
      <c r="G23" s="6">
        <v>160</v>
      </c>
      <c r="H23" s="6">
        <v>220</v>
      </c>
      <c r="I23" s="6">
        <v>245</v>
      </c>
      <c r="J23" s="6">
        <v>130</v>
      </c>
      <c r="K23" s="6">
        <v>60</v>
      </c>
      <c r="L23" s="6">
        <v>60</v>
      </c>
      <c r="M23" s="6">
        <v>65</v>
      </c>
    </row>
    <row r="24" spans="1:13" ht="15" customHeight="1" x14ac:dyDescent="0.2">
      <c r="A24" s="7" t="s">
        <v>219</v>
      </c>
      <c r="B24" s="6">
        <v>2</v>
      </c>
      <c r="C24" s="6"/>
      <c r="D24" s="6"/>
      <c r="E24" s="6">
        <v>1</v>
      </c>
      <c r="F24" s="6"/>
      <c r="G24" s="6"/>
      <c r="H24" s="6"/>
      <c r="I24" s="6"/>
      <c r="J24" s="6"/>
      <c r="K24" s="6"/>
      <c r="L24" s="6"/>
      <c r="M24" s="6"/>
    </row>
    <row r="25" spans="1:13" ht="15" customHeight="1" x14ac:dyDescent="0.2">
      <c r="A25" s="8" t="s">
        <v>13</v>
      </c>
      <c r="B25" s="14"/>
      <c r="C25" s="14">
        <f>+C23/B23</f>
        <v>0</v>
      </c>
      <c r="D25" s="14">
        <f>+D23/B23</f>
        <v>0</v>
      </c>
      <c r="E25" s="14">
        <f>+E23/B23</f>
        <v>0.5</v>
      </c>
      <c r="F25" s="14"/>
      <c r="G25" s="14">
        <f>+(G23/F23)*0.4</f>
        <v>8.4768211920529801E-2</v>
      </c>
      <c r="H25" s="14">
        <f>+(H23/F23)*0.4</f>
        <v>0.11655629139072848</v>
      </c>
      <c r="I25" s="14">
        <f>+(I23/F23)*0.4</f>
        <v>0.12980132450331125</v>
      </c>
      <c r="J25" s="14"/>
      <c r="K25" s="14">
        <f>+(K23/J23)*0.4</f>
        <v>0.18461538461538463</v>
      </c>
      <c r="L25" s="14">
        <f>+(L23/J23)*0.4</f>
        <v>0.18461538461538463</v>
      </c>
      <c r="M25" s="14">
        <f>+(M23/J23)*0.4</f>
        <v>0.2</v>
      </c>
    </row>
    <row r="26" spans="1:13" ht="15" customHeight="1" x14ac:dyDescent="0.2">
      <c r="A26" s="12" t="s">
        <v>117</v>
      </c>
      <c r="B26" s="1">
        <f>SUM(B27:B27)</f>
        <v>1</v>
      </c>
      <c r="C26" s="1">
        <f>SUM(C27:C27)</f>
        <v>0</v>
      </c>
      <c r="D26" s="1">
        <f>SUM(D27:D27)</f>
        <v>0</v>
      </c>
      <c r="E26" s="1">
        <f>SUM(E27:E27)</f>
        <v>1</v>
      </c>
      <c r="F26" s="1">
        <v>7640</v>
      </c>
      <c r="G26" s="1">
        <v>2610</v>
      </c>
      <c r="H26" s="1">
        <v>2820</v>
      </c>
      <c r="I26" s="1">
        <v>5650</v>
      </c>
      <c r="J26" s="1">
        <v>680</v>
      </c>
      <c r="K26" s="1">
        <v>260</v>
      </c>
      <c r="L26" s="1">
        <v>295</v>
      </c>
      <c r="M26" s="1">
        <v>535</v>
      </c>
    </row>
    <row r="27" spans="1:13" ht="15" customHeight="1" x14ac:dyDescent="0.2">
      <c r="A27" s="7" t="s">
        <v>415</v>
      </c>
      <c r="B27" s="6">
        <v>1</v>
      </c>
      <c r="C27" s="6"/>
      <c r="D27" s="6"/>
      <c r="E27" s="6">
        <v>1</v>
      </c>
      <c r="F27" s="6"/>
      <c r="G27" s="6"/>
      <c r="H27" s="6"/>
      <c r="I27" s="6"/>
      <c r="J27" s="6"/>
      <c r="K27" s="6"/>
      <c r="L27" s="6"/>
      <c r="M27" s="6"/>
    </row>
    <row r="28" spans="1:13" ht="15" customHeight="1" x14ac:dyDescent="0.2">
      <c r="A28" s="8" t="s">
        <v>13</v>
      </c>
      <c r="B28" s="14"/>
      <c r="C28" s="14">
        <f>+C26/B26</f>
        <v>0</v>
      </c>
      <c r="D28" s="14">
        <f>+D26/B26</f>
        <v>0</v>
      </c>
      <c r="E28" s="14">
        <f>+E26/B26</f>
        <v>1</v>
      </c>
      <c r="F28" s="14"/>
      <c r="G28" s="14">
        <f>+(G26/F26)*0.4</f>
        <v>0.13664921465968588</v>
      </c>
      <c r="H28" s="14">
        <f>+(H26/F26)*0.4</f>
        <v>0.14764397905759161</v>
      </c>
      <c r="I28" s="14">
        <f>+(I26/F26)*0.4</f>
        <v>0.29581151832460734</v>
      </c>
      <c r="J28" s="14"/>
      <c r="K28" s="14">
        <f>+(K26/J26)*0.4</f>
        <v>0.15294117647058825</v>
      </c>
      <c r="L28" s="14">
        <f>+(L26/J26)*0.4</f>
        <v>0.1735294117647059</v>
      </c>
      <c r="M28" s="14">
        <f>+(M26/J26)*0.4</f>
        <v>0.31470588235294117</v>
      </c>
    </row>
    <row r="29" spans="1:13" ht="15" customHeight="1" x14ac:dyDescent="0.2">
      <c r="A29" s="12" t="s">
        <v>118</v>
      </c>
      <c r="B29" s="1">
        <f>SUM(B30:B31)</f>
        <v>2</v>
      </c>
      <c r="C29" s="1">
        <f t="shared" ref="C29:E29" si="1">SUM(C30:C31)</f>
        <v>0</v>
      </c>
      <c r="D29" s="1">
        <f t="shared" si="1"/>
        <v>1</v>
      </c>
      <c r="E29" s="1">
        <f t="shared" si="1"/>
        <v>1</v>
      </c>
      <c r="F29" s="1">
        <v>945</v>
      </c>
      <c r="G29" s="1">
        <v>195</v>
      </c>
      <c r="H29" s="1">
        <v>310</v>
      </c>
      <c r="I29" s="1">
        <v>440</v>
      </c>
      <c r="J29" s="1">
        <v>280</v>
      </c>
      <c r="K29" s="1">
        <v>15</v>
      </c>
      <c r="L29" s="1">
        <v>50</v>
      </c>
      <c r="M29" s="1">
        <v>125</v>
      </c>
    </row>
    <row r="30" spans="1:13" ht="15" customHeight="1" x14ac:dyDescent="0.2">
      <c r="A30" s="7" t="s">
        <v>333</v>
      </c>
      <c r="B30" s="1">
        <v>1</v>
      </c>
    </row>
    <row r="31" spans="1:13" ht="15" customHeight="1" x14ac:dyDescent="0.2">
      <c r="A31" s="7" t="s">
        <v>287</v>
      </c>
      <c r="B31" s="6">
        <v>1</v>
      </c>
      <c r="C31" s="6"/>
      <c r="D31" s="6">
        <v>1</v>
      </c>
      <c r="E31" s="6">
        <v>1</v>
      </c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8" t="s">
        <v>13</v>
      </c>
      <c r="B32" s="14"/>
      <c r="C32" s="14">
        <f>+C29/B29</f>
        <v>0</v>
      </c>
      <c r="D32" s="14">
        <f>+D29/B29</f>
        <v>0.5</v>
      </c>
      <c r="E32" s="14">
        <f>+E29/B29</f>
        <v>0.5</v>
      </c>
      <c r="F32" s="14"/>
      <c r="G32" s="14">
        <f>+(G29/F29)*0.4</f>
        <v>8.2539682539682538E-2</v>
      </c>
      <c r="H32" s="14">
        <f>+(H29/F29)*0.4</f>
        <v>0.1312169312169312</v>
      </c>
      <c r="I32" s="14">
        <f>+(I29/F29)*0.4</f>
        <v>0.18624338624338624</v>
      </c>
      <c r="J32" s="14"/>
      <c r="K32" s="14">
        <f>+(K29/J29)*0.4</f>
        <v>2.1428571428571429E-2</v>
      </c>
      <c r="L32" s="14">
        <f>+(L29/J29)*0.4</f>
        <v>7.1428571428571438E-2</v>
      </c>
      <c r="M32" s="14">
        <f>+(M29/J29)*0.4</f>
        <v>0.1785714285714286</v>
      </c>
    </row>
    <row r="33" spans="1:13" ht="15" customHeight="1" x14ac:dyDescent="0.2">
      <c r="A33" s="12" t="s">
        <v>119</v>
      </c>
      <c r="B33" s="1">
        <f>SUM(B34:B34)</f>
        <v>1</v>
      </c>
      <c r="C33" s="1">
        <f>SUM(C34:C34)</f>
        <v>0</v>
      </c>
      <c r="D33" s="1">
        <f>SUM(D34:D34)</f>
        <v>0</v>
      </c>
      <c r="E33" s="1">
        <f>SUM(E34:E34)</f>
        <v>0</v>
      </c>
      <c r="F33" s="1">
        <v>3385</v>
      </c>
      <c r="G33" s="1">
        <v>615</v>
      </c>
      <c r="H33" s="1">
        <v>725</v>
      </c>
      <c r="I33" s="1">
        <v>1900</v>
      </c>
      <c r="J33" s="1">
        <v>680</v>
      </c>
      <c r="K33" s="1">
        <v>135</v>
      </c>
      <c r="L33" s="1">
        <v>165</v>
      </c>
      <c r="M33" s="1">
        <v>375</v>
      </c>
    </row>
    <row r="34" spans="1:13" ht="15" customHeight="1" x14ac:dyDescent="0.2">
      <c r="A34" s="1" t="s">
        <v>276</v>
      </c>
      <c r="B34" s="1">
        <v>1</v>
      </c>
    </row>
    <row r="35" spans="1:13" ht="15" customHeight="1" x14ac:dyDescent="0.2">
      <c r="A35" s="8" t="s">
        <v>13</v>
      </c>
      <c r="B35" s="14"/>
      <c r="C35" s="14">
        <f>+C32/B33</f>
        <v>0</v>
      </c>
      <c r="D35" s="14">
        <f>+D32/B33</f>
        <v>0.5</v>
      </c>
      <c r="E35" s="14">
        <f>+E33/B33</f>
        <v>0</v>
      </c>
      <c r="F35" s="14"/>
      <c r="G35" s="14">
        <f>+(G33/F33)*0.4</f>
        <v>7.2673559822747411E-2</v>
      </c>
      <c r="H35" s="14">
        <f>+(H33/F33)*0.4</f>
        <v>8.5672082717872966E-2</v>
      </c>
      <c r="I35" s="14">
        <f>+(I33/F33)*0.4</f>
        <v>0.22451994091580502</v>
      </c>
      <c r="J35" s="14"/>
      <c r="K35" s="14">
        <f>+(K33/J33)*0.4</f>
        <v>7.9411764705882348E-2</v>
      </c>
      <c r="L35" s="14">
        <f>+(L33/J33)*0.4</f>
        <v>9.7058823529411767E-2</v>
      </c>
      <c r="M35" s="14">
        <f>+(M33/J33)*0.4</f>
        <v>0.22058823529411767</v>
      </c>
    </row>
    <row r="36" spans="1:13" ht="15" customHeight="1" x14ac:dyDescent="0.2">
      <c r="A36" s="12" t="s">
        <v>120</v>
      </c>
      <c r="B36" s="1">
        <f>SUM(B37:B72)</f>
        <v>56</v>
      </c>
      <c r="C36" s="1">
        <f>SUM(C37:C72)</f>
        <v>5</v>
      </c>
      <c r="D36" s="1">
        <f>SUM(D37:D72)</f>
        <v>5</v>
      </c>
      <c r="E36" s="1">
        <f>SUM(E37:E72)</f>
        <v>51</v>
      </c>
      <c r="F36" s="1">
        <v>12400</v>
      </c>
      <c r="G36" s="1">
        <v>3550</v>
      </c>
      <c r="H36" s="1">
        <v>3729</v>
      </c>
      <c r="I36" s="1">
        <v>7675</v>
      </c>
      <c r="J36" s="1">
        <v>1155</v>
      </c>
      <c r="K36" s="1">
        <v>425</v>
      </c>
      <c r="L36" s="1">
        <v>453</v>
      </c>
      <c r="M36" s="1">
        <v>710</v>
      </c>
    </row>
    <row r="37" spans="1:13" ht="15" customHeight="1" x14ac:dyDescent="0.2">
      <c r="A37" s="7" t="s">
        <v>64</v>
      </c>
      <c r="B37" s="6">
        <v>7</v>
      </c>
      <c r="C37" s="6"/>
      <c r="D37" s="6"/>
      <c r="E37" s="6">
        <v>6</v>
      </c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330</v>
      </c>
      <c r="B38" s="6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366</v>
      </c>
      <c r="B39" s="6">
        <v>1</v>
      </c>
      <c r="C39" s="6"/>
      <c r="D39" s="6"/>
      <c r="E39" s="6">
        <v>1</v>
      </c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412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24" t="s">
        <v>413</v>
      </c>
      <c r="B41" s="22">
        <v>1</v>
      </c>
      <c r="C41" s="22"/>
      <c r="D41" s="22"/>
      <c r="E41" s="22">
        <v>1</v>
      </c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24" t="s">
        <v>414</v>
      </c>
      <c r="B42" s="22">
        <v>1</v>
      </c>
      <c r="C42" s="22"/>
      <c r="D42" s="22"/>
      <c r="E42" s="22">
        <v>1</v>
      </c>
      <c r="F42" s="6"/>
      <c r="G42" s="6"/>
      <c r="H42" s="6"/>
      <c r="I42" s="6"/>
      <c r="J42" s="6"/>
      <c r="K42" s="6"/>
      <c r="L42" s="6"/>
      <c r="M42" s="6"/>
    </row>
    <row r="43" spans="1:13" ht="15" customHeight="1" x14ac:dyDescent="0.2">
      <c r="A43" s="24" t="s">
        <v>416</v>
      </c>
      <c r="B43" s="22">
        <v>1</v>
      </c>
      <c r="C43" s="22"/>
      <c r="D43" s="22"/>
      <c r="E43" s="22">
        <v>1</v>
      </c>
      <c r="F43" s="6"/>
      <c r="G43" s="6"/>
      <c r="H43" s="6"/>
      <c r="I43" s="6"/>
      <c r="J43" s="6"/>
      <c r="K43" s="6"/>
      <c r="L43" s="6"/>
      <c r="M43" s="6"/>
    </row>
    <row r="44" spans="1:13" ht="15" customHeight="1" x14ac:dyDescent="0.2">
      <c r="A44" s="24" t="s">
        <v>417</v>
      </c>
      <c r="B44" s="22">
        <v>1</v>
      </c>
      <c r="C44" s="22"/>
      <c r="D44" s="22"/>
      <c r="E44" s="22">
        <v>1</v>
      </c>
      <c r="F44" s="6"/>
      <c r="G44" s="6"/>
      <c r="H44" s="6"/>
      <c r="I44" s="6"/>
      <c r="J44" s="6"/>
      <c r="K44" s="6"/>
      <c r="L44" s="6"/>
      <c r="M44" s="6"/>
    </row>
    <row r="45" spans="1:13" ht="15" customHeight="1" x14ac:dyDescent="0.2">
      <c r="A45" s="24" t="s">
        <v>503</v>
      </c>
      <c r="B45" s="22">
        <v>1</v>
      </c>
      <c r="C45" s="22"/>
      <c r="D45" s="22"/>
      <c r="E45" s="22">
        <v>1</v>
      </c>
      <c r="F45" s="6"/>
      <c r="G45" s="6"/>
      <c r="H45" s="6"/>
      <c r="I45" s="6"/>
      <c r="J45" s="6"/>
      <c r="K45" s="6"/>
      <c r="L45" s="6"/>
      <c r="M45" s="6"/>
    </row>
    <row r="46" spans="1:13" ht="15" customHeight="1" x14ac:dyDescent="0.2">
      <c r="A46" s="24" t="s">
        <v>418</v>
      </c>
      <c r="B46" s="22">
        <v>1</v>
      </c>
      <c r="C46" s="22"/>
      <c r="D46" s="22"/>
      <c r="E46" s="22">
        <v>1</v>
      </c>
      <c r="F46" s="6"/>
      <c r="G46" s="6"/>
      <c r="H46" s="6"/>
      <c r="I46" s="6"/>
      <c r="J46" s="6"/>
      <c r="K46" s="6"/>
      <c r="L46" s="6"/>
      <c r="M46" s="6"/>
    </row>
    <row r="47" spans="1:13" ht="15" customHeight="1" x14ac:dyDescent="0.2">
      <c r="A47" s="24" t="s">
        <v>419</v>
      </c>
      <c r="B47" s="22">
        <v>1</v>
      </c>
      <c r="C47" s="22"/>
      <c r="D47" s="22"/>
      <c r="E47" s="22">
        <v>1</v>
      </c>
      <c r="F47" s="6"/>
      <c r="G47" s="6"/>
      <c r="H47" s="6"/>
      <c r="I47" s="6"/>
      <c r="J47" s="6"/>
      <c r="K47" s="6"/>
      <c r="L47" s="6"/>
      <c r="M47" s="6"/>
    </row>
    <row r="48" spans="1:13" ht="15" customHeight="1" x14ac:dyDescent="0.2">
      <c r="A48" s="7" t="s">
        <v>65</v>
      </c>
      <c r="B48" s="6">
        <v>5</v>
      </c>
      <c r="C48" s="6">
        <v>1</v>
      </c>
      <c r="D48" s="6">
        <v>1</v>
      </c>
      <c r="E48" s="6">
        <v>5</v>
      </c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7" t="s">
        <v>372</v>
      </c>
      <c r="B49" s="6">
        <v>1</v>
      </c>
      <c r="C49" s="6">
        <v>1</v>
      </c>
      <c r="D49" s="6">
        <v>1</v>
      </c>
      <c r="E49" s="6">
        <v>1</v>
      </c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7" t="s">
        <v>420</v>
      </c>
      <c r="B50" s="6">
        <v>1</v>
      </c>
      <c r="C50" s="6"/>
      <c r="D50" s="6"/>
      <c r="E50" s="6">
        <v>1</v>
      </c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7" t="s">
        <v>66</v>
      </c>
      <c r="B51" s="6">
        <v>8</v>
      </c>
      <c r="C51" s="6">
        <v>1</v>
      </c>
      <c r="D51" s="6">
        <v>1</v>
      </c>
      <c r="E51" s="6">
        <v>8</v>
      </c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421</v>
      </c>
      <c r="B52" s="6">
        <v>1</v>
      </c>
      <c r="C52" s="6"/>
      <c r="D52" s="6"/>
      <c r="E52" s="6">
        <v>1</v>
      </c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7" t="s">
        <v>422</v>
      </c>
      <c r="B53" s="6">
        <v>1</v>
      </c>
      <c r="C53" s="6"/>
      <c r="D53" s="6"/>
      <c r="E53" s="6">
        <v>1</v>
      </c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500</v>
      </c>
      <c r="B54" s="6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368</v>
      </c>
      <c r="B55" s="6">
        <v>1</v>
      </c>
      <c r="C55" s="6"/>
      <c r="D55" s="6"/>
      <c r="E55" s="6">
        <v>1</v>
      </c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334</v>
      </c>
      <c r="B56" s="6">
        <v>1</v>
      </c>
      <c r="C56" s="6"/>
      <c r="D56" s="6"/>
      <c r="E56" s="6">
        <v>1</v>
      </c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24" t="s">
        <v>439</v>
      </c>
      <c r="B57" s="6">
        <v>1</v>
      </c>
      <c r="C57" s="6"/>
      <c r="D57" s="6"/>
      <c r="E57" s="6">
        <v>1</v>
      </c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24" t="s">
        <v>437</v>
      </c>
      <c r="B58" s="6">
        <v>1</v>
      </c>
      <c r="C58" s="6"/>
      <c r="D58" s="6"/>
      <c r="E58" s="6">
        <v>1</v>
      </c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24" t="s">
        <v>501</v>
      </c>
      <c r="B59" s="6">
        <v>1</v>
      </c>
      <c r="C59" s="6"/>
      <c r="D59" s="6"/>
      <c r="E59" s="6">
        <v>1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7" t="s">
        <v>285</v>
      </c>
      <c r="B60" s="6">
        <v>1</v>
      </c>
      <c r="C60" s="6"/>
      <c r="D60" s="6"/>
      <c r="E60" s="6">
        <v>1</v>
      </c>
      <c r="F60" s="6"/>
      <c r="G60" s="6"/>
      <c r="M60" s="6"/>
    </row>
    <row r="61" spans="1:13" ht="15" customHeight="1" x14ac:dyDescent="0.2">
      <c r="A61" s="7" t="s">
        <v>275</v>
      </c>
      <c r="B61" s="6">
        <v>1</v>
      </c>
      <c r="C61" s="6">
        <v>1</v>
      </c>
      <c r="D61" s="6">
        <v>1</v>
      </c>
      <c r="E61" s="6">
        <v>1</v>
      </c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7" t="s">
        <v>310</v>
      </c>
      <c r="B62" s="6">
        <v>1</v>
      </c>
      <c r="C62" s="6"/>
      <c r="D62" s="6"/>
      <c r="E62" s="6">
        <v>1</v>
      </c>
      <c r="F62" s="6"/>
      <c r="G62" s="6"/>
      <c r="H62" s="6"/>
      <c r="I62" s="6"/>
      <c r="J62" s="6"/>
      <c r="K62" s="6"/>
      <c r="L62" s="6"/>
      <c r="M62" s="6"/>
    </row>
    <row r="63" spans="1:13" ht="15" customHeight="1" x14ac:dyDescent="0.2">
      <c r="A63" s="7" t="s">
        <v>336</v>
      </c>
      <c r="B63" s="6">
        <v>1</v>
      </c>
      <c r="C63" s="6">
        <v>1</v>
      </c>
      <c r="D63" s="6">
        <v>1</v>
      </c>
      <c r="E63" s="6"/>
      <c r="F63" s="6"/>
      <c r="G63" s="6"/>
      <c r="H63" s="6"/>
      <c r="I63" s="6"/>
      <c r="J63" s="6"/>
      <c r="K63" s="6"/>
      <c r="L63" s="6"/>
      <c r="M63" s="6"/>
    </row>
    <row r="64" spans="1:13" ht="15" customHeight="1" x14ac:dyDescent="0.2">
      <c r="A64" s="7" t="s">
        <v>502</v>
      </c>
      <c r="B64" s="6">
        <v>1</v>
      </c>
      <c r="C64" s="6"/>
      <c r="D64" s="6"/>
      <c r="E64" s="6">
        <v>1</v>
      </c>
      <c r="F64" s="6"/>
      <c r="G64" s="6"/>
      <c r="H64" s="6"/>
      <c r="I64" s="6"/>
      <c r="J64" s="6"/>
      <c r="K64" s="6"/>
      <c r="L64" s="6"/>
      <c r="M64" s="6"/>
    </row>
    <row r="65" spans="1:13" ht="15" customHeight="1" x14ac:dyDescent="0.2">
      <c r="A65" s="7" t="s">
        <v>369</v>
      </c>
      <c r="B65" s="6">
        <v>1</v>
      </c>
      <c r="C65" s="6"/>
      <c r="D65" s="6"/>
      <c r="E65" s="6">
        <v>1</v>
      </c>
      <c r="F65" s="6"/>
      <c r="G65" s="6"/>
      <c r="H65" s="6"/>
      <c r="I65" s="6"/>
      <c r="J65" s="6"/>
      <c r="K65" s="6"/>
      <c r="L65" s="6"/>
      <c r="M65" s="6"/>
    </row>
    <row r="66" spans="1:13" ht="15" customHeight="1" x14ac:dyDescent="0.2">
      <c r="A66" s="7" t="s">
        <v>225</v>
      </c>
      <c r="B66" s="6">
        <v>4</v>
      </c>
      <c r="C66" s="6"/>
      <c r="D66" s="6"/>
      <c r="E66" s="6">
        <v>3</v>
      </c>
      <c r="F66" s="6"/>
      <c r="G66" s="6"/>
      <c r="H66" s="6"/>
      <c r="I66" s="6"/>
      <c r="J66" s="6"/>
      <c r="K66" s="6"/>
      <c r="L66" s="6"/>
      <c r="M66" s="6"/>
    </row>
    <row r="67" spans="1:13" ht="15" customHeight="1" x14ac:dyDescent="0.2">
      <c r="A67" s="7" t="s">
        <v>367</v>
      </c>
      <c r="B67" s="6">
        <v>1</v>
      </c>
      <c r="C67" s="6"/>
      <c r="D67" s="6"/>
      <c r="E67" s="6">
        <v>1</v>
      </c>
      <c r="F67" s="6"/>
      <c r="G67" s="6"/>
      <c r="H67" s="6"/>
      <c r="I67" s="6"/>
      <c r="J67" s="6"/>
      <c r="K67" s="6"/>
      <c r="L67" s="6"/>
      <c r="M67" s="6"/>
    </row>
    <row r="68" spans="1:13" ht="15" customHeight="1" x14ac:dyDescent="0.2">
      <c r="A68" s="7" t="s">
        <v>424</v>
      </c>
      <c r="B68" s="6">
        <v>1</v>
      </c>
      <c r="C68" s="6"/>
      <c r="D68" s="6"/>
      <c r="E68" s="6">
        <v>1</v>
      </c>
      <c r="F68" s="6"/>
      <c r="G68" s="6"/>
      <c r="H68" s="6"/>
      <c r="I68" s="6"/>
      <c r="J68" s="6"/>
      <c r="K68" s="6"/>
      <c r="L68" s="6"/>
      <c r="M68" s="6"/>
    </row>
    <row r="69" spans="1:13" ht="15" customHeight="1" x14ac:dyDescent="0.2">
      <c r="A69" s="7" t="s">
        <v>338</v>
      </c>
      <c r="B69" s="6">
        <v>1</v>
      </c>
      <c r="C69" s="6"/>
      <c r="D69" s="6"/>
      <c r="E69" s="6">
        <v>1</v>
      </c>
      <c r="F69" s="6"/>
      <c r="G69" s="6"/>
      <c r="H69" s="6"/>
      <c r="I69" s="6"/>
      <c r="J69" s="6"/>
      <c r="K69" s="6"/>
      <c r="L69" s="6"/>
      <c r="M69" s="6"/>
    </row>
    <row r="70" spans="1:13" ht="15" customHeight="1" x14ac:dyDescent="0.2">
      <c r="A70" s="7" t="s">
        <v>100</v>
      </c>
      <c r="B70" s="6">
        <v>1</v>
      </c>
      <c r="C70" s="6"/>
      <c r="D70" s="6"/>
      <c r="E70" s="6">
        <v>1</v>
      </c>
      <c r="F70" s="6"/>
      <c r="G70" s="6"/>
      <c r="H70" s="6"/>
      <c r="I70" s="6"/>
      <c r="J70" s="6"/>
      <c r="K70" s="6"/>
      <c r="L70" s="6"/>
      <c r="M70" s="6"/>
    </row>
    <row r="71" spans="1:13" ht="15" customHeight="1" x14ac:dyDescent="0.2">
      <c r="A71" s="7" t="s">
        <v>232</v>
      </c>
      <c r="B71" s="6">
        <v>1</v>
      </c>
      <c r="C71" s="6"/>
      <c r="D71" s="6"/>
      <c r="E71" s="6">
        <v>1</v>
      </c>
      <c r="F71" s="6"/>
      <c r="G71" s="6"/>
      <c r="H71" s="6"/>
      <c r="I71" s="6"/>
      <c r="J71" s="6"/>
      <c r="K71" s="6"/>
      <c r="L71" s="6"/>
      <c r="M71" s="6"/>
    </row>
    <row r="72" spans="1:13" ht="15" customHeight="1" x14ac:dyDescent="0.2">
      <c r="A72" s="7" t="s">
        <v>370</v>
      </c>
      <c r="B72" s="6">
        <v>1</v>
      </c>
      <c r="C72" s="6"/>
      <c r="D72" s="6"/>
      <c r="E72" s="6">
        <v>1</v>
      </c>
      <c r="F72" s="6"/>
      <c r="G72" s="6"/>
      <c r="H72" s="6"/>
      <c r="I72" s="6"/>
      <c r="J72" s="6"/>
      <c r="K72" s="6"/>
      <c r="L72" s="6"/>
      <c r="M72" s="6"/>
    </row>
    <row r="73" spans="1:13" ht="15" customHeight="1" x14ac:dyDescent="0.2">
      <c r="A73" s="8" t="s">
        <v>13</v>
      </c>
      <c r="B73" s="14"/>
      <c r="C73" s="14">
        <f>+C36/B36</f>
        <v>8.9285714285714288E-2</v>
      </c>
      <c r="D73" s="14">
        <f>+D36/B36</f>
        <v>8.9285714285714288E-2</v>
      </c>
      <c r="E73" s="14">
        <f>+E36/B36</f>
        <v>0.9107142857142857</v>
      </c>
      <c r="F73" s="14"/>
      <c r="G73" s="14">
        <f>+(G36/F36)*0.4</f>
        <v>0.11451612903225808</v>
      </c>
      <c r="H73" s="14">
        <f>+(H36/F36)*0.4</f>
        <v>0.12029032258064516</v>
      </c>
      <c r="I73" s="14">
        <f>+(I36/F36)*0.4</f>
        <v>0.2475806451612903</v>
      </c>
      <c r="J73" s="14"/>
      <c r="K73" s="14">
        <f>+(K36/J36)*0.4</f>
        <v>0.14718614718614717</v>
      </c>
      <c r="L73" s="14">
        <f>+(L36/J36)*0.4</f>
        <v>0.1568831168831169</v>
      </c>
      <c r="M73" s="14">
        <f>+(M36/J36)*0.4</f>
        <v>0.24588744588744588</v>
      </c>
    </row>
    <row r="74" spans="1:13" ht="15" customHeight="1" x14ac:dyDescent="0.2">
      <c r="A74" s="12" t="s">
        <v>7</v>
      </c>
      <c r="B74" s="1">
        <f>SUM(B75:B84)</f>
        <v>18</v>
      </c>
      <c r="C74" s="1">
        <f>SUM(C75:C84)</f>
        <v>2</v>
      </c>
      <c r="D74" s="1">
        <f>SUM(D75:D84)</f>
        <v>2</v>
      </c>
      <c r="E74" s="1">
        <f>SUM(E75:E84)</f>
        <v>16</v>
      </c>
      <c r="F74" s="1">
        <v>14045</v>
      </c>
      <c r="G74" s="1">
        <v>2205</v>
      </c>
      <c r="H74" s="1">
        <v>2555</v>
      </c>
      <c r="I74" s="1">
        <v>8265</v>
      </c>
      <c r="J74" s="1">
        <v>1305</v>
      </c>
      <c r="K74" s="1">
        <v>230</v>
      </c>
      <c r="L74" s="1">
        <v>265</v>
      </c>
      <c r="M74" s="1">
        <v>630</v>
      </c>
    </row>
    <row r="75" spans="1:13" ht="15" customHeight="1" x14ac:dyDescent="0.2">
      <c r="A75" s="7" t="s">
        <v>504</v>
      </c>
      <c r="B75" s="6">
        <v>1</v>
      </c>
      <c r="C75" s="6"/>
      <c r="D75" s="6"/>
      <c r="E75" s="6">
        <v>1</v>
      </c>
      <c r="F75" s="6"/>
      <c r="G75" s="6"/>
      <c r="H75" s="6"/>
      <c r="I75" s="6"/>
      <c r="J75" s="6"/>
      <c r="K75" s="6"/>
      <c r="L75" s="6"/>
      <c r="M75" s="6"/>
    </row>
    <row r="76" spans="1:13" ht="15" customHeight="1" x14ac:dyDescent="0.2">
      <c r="A76" s="7" t="s">
        <v>27</v>
      </c>
      <c r="B76" s="6">
        <v>1</v>
      </c>
      <c r="C76" s="6"/>
      <c r="D76" s="6"/>
      <c r="E76" s="6">
        <v>1</v>
      </c>
      <c r="F76" s="6"/>
      <c r="G76" s="6"/>
      <c r="H76" s="6"/>
      <c r="I76" s="6"/>
      <c r="J76" s="6"/>
      <c r="K76" s="6"/>
      <c r="L76" s="6"/>
      <c r="M76" s="6"/>
    </row>
    <row r="77" spans="1:13" ht="15" customHeight="1" x14ac:dyDescent="0.2">
      <c r="A77" s="7" t="s">
        <v>371</v>
      </c>
      <c r="B77" s="6">
        <v>1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5" customHeight="1" x14ac:dyDescent="0.2">
      <c r="A78" s="7" t="s">
        <v>505</v>
      </c>
      <c r="B78" s="6">
        <v>1</v>
      </c>
      <c r="C78" s="6"/>
      <c r="D78" s="6"/>
      <c r="E78" s="6">
        <v>1</v>
      </c>
      <c r="F78" s="6"/>
      <c r="G78" s="6"/>
      <c r="H78" s="6"/>
      <c r="I78" s="6"/>
      <c r="J78" s="6"/>
      <c r="K78" s="6"/>
      <c r="L78" s="6"/>
      <c r="M78" s="6"/>
    </row>
    <row r="79" spans="1:13" ht="15" customHeight="1" x14ac:dyDescent="0.2">
      <c r="A79" s="7" t="s">
        <v>335</v>
      </c>
      <c r="B79" s="22">
        <v>1</v>
      </c>
      <c r="C79" s="6"/>
      <c r="D79" s="6"/>
      <c r="E79" s="6">
        <v>1</v>
      </c>
      <c r="F79" s="6"/>
      <c r="G79" s="6"/>
      <c r="H79" s="6"/>
      <c r="I79" s="6"/>
      <c r="J79" s="6"/>
      <c r="K79" s="6"/>
      <c r="L79" s="6"/>
      <c r="M79" s="6"/>
    </row>
    <row r="80" spans="1:13" ht="15" customHeight="1" x14ac:dyDescent="0.2">
      <c r="A80" s="7" t="s">
        <v>286</v>
      </c>
      <c r="B80" s="6">
        <v>1</v>
      </c>
      <c r="C80" s="6"/>
      <c r="D80" s="6"/>
      <c r="E80" s="6">
        <v>1</v>
      </c>
      <c r="F80" s="6"/>
      <c r="G80" s="6"/>
      <c r="H80" s="6"/>
      <c r="I80" s="6"/>
      <c r="J80" s="6"/>
      <c r="K80" s="6"/>
      <c r="L80" s="6"/>
      <c r="M80" s="6"/>
    </row>
    <row r="81" spans="1:13" ht="15" customHeight="1" x14ac:dyDescent="0.2">
      <c r="A81" s="7" t="s">
        <v>451</v>
      </c>
      <c r="B81" s="6">
        <v>1</v>
      </c>
      <c r="C81" s="6"/>
      <c r="D81" s="6"/>
      <c r="E81" s="6">
        <v>1</v>
      </c>
      <c r="F81" s="6"/>
      <c r="G81" s="6"/>
      <c r="H81" s="6"/>
      <c r="I81" s="6"/>
      <c r="J81" s="6"/>
      <c r="K81" s="6"/>
      <c r="L81" s="6"/>
      <c r="M81" s="6"/>
    </row>
    <row r="82" spans="1:13" ht="15" customHeight="1" x14ac:dyDescent="0.2">
      <c r="A82" s="7" t="s">
        <v>506</v>
      </c>
      <c r="B82" s="6">
        <v>1</v>
      </c>
      <c r="C82" s="6"/>
      <c r="D82" s="6"/>
      <c r="E82" s="6">
        <v>1</v>
      </c>
      <c r="F82" s="6"/>
      <c r="G82" s="6"/>
      <c r="H82" s="6"/>
      <c r="I82" s="6"/>
      <c r="J82" s="6"/>
      <c r="K82" s="6"/>
      <c r="L82" s="6"/>
      <c r="M82" s="6"/>
    </row>
    <row r="83" spans="1:13" ht="15" customHeight="1" x14ac:dyDescent="0.2">
      <c r="A83" s="7" t="s">
        <v>67</v>
      </c>
      <c r="B83" s="6">
        <v>9</v>
      </c>
      <c r="C83" s="6">
        <v>2</v>
      </c>
      <c r="D83" s="6">
        <v>2</v>
      </c>
      <c r="E83" s="6">
        <v>8</v>
      </c>
      <c r="F83" s="6"/>
      <c r="G83" s="6"/>
      <c r="H83" s="6"/>
      <c r="I83" s="6"/>
      <c r="J83" s="6"/>
      <c r="K83" s="6"/>
      <c r="L83" s="6"/>
      <c r="M83" s="6"/>
    </row>
    <row r="84" spans="1:13" ht="15" customHeight="1" x14ac:dyDescent="0.2">
      <c r="A84" s="7" t="s">
        <v>312</v>
      </c>
      <c r="B84" s="6">
        <v>1</v>
      </c>
      <c r="C84" s="6"/>
      <c r="D84" s="6"/>
      <c r="E84" s="6">
        <v>1</v>
      </c>
      <c r="F84" s="6"/>
      <c r="G84" s="6"/>
      <c r="H84" s="6"/>
      <c r="I84" s="6"/>
      <c r="J84" s="6"/>
      <c r="K84" s="6"/>
      <c r="L84" s="6"/>
      <c r="M84" s="6"/>
    </row>
    <row r="85" spans="1:13" ht="15" customHeight="1" x14ac:dyDescent="0.2">
      <c r="A85" s="8" t="s">
        <v>13</v>
      </c>
      <c r="B85" s="14"/>
      <c r="C85" s="14">
        <f>+C74/B74</f>
        <v>0.1111111111111111</v>
      </c>
      <c r="D85" s="14">
        <f>+D74/B74</f>
        <v>0.1111111111111111</v>
      </c>
      <c r="E85" s="14">
        <f>+E74/B74</f>
        <v>0.88888888888888884</v>
      </c>
      <c r="F85" s="14"/>
      <c r="G85" s="14">
        <f>+(G74/F74)*0.4</f>
        <v>6.279814880740478E-2</v>
      </c>
      <c r="H85" s="14">
        <f>+(H74/F74)*0.4</f>
        <v>7.2766108935564261E-2</v>
      </c>
      <c r="I85" s="14">
        <f>+(I74/F74)*0.4</f>
        <v>0.23538625845496619</v>
      </c>
      <c r="J85" s="14"/>
      <c r="K85" s="14">
        <f>+(K74/J74)*0.4</f>
        <v>7.0498084291187743E-2</v>
      </c>
      <c r="L85" s="14">
        <f>+(L74/J74)*0.4</f>
        <v>8.1226053639846751E-2</v>
      </c>
      <c r="M85" s="14">
        <f>+(M74/J74)*0.4</f>
        <v>0.19310344827586209</v>
      </c>
    </row>
    <row r="86" spans="1:13" ht="26.25" customHeight="1" x14ac:dyDescent="0.2">
      <c r="A86" s="15" t="s">
        <v>264</v>
      </c>
      <c r="F86" s="6">
        <v>3370</v>
      </c>
      <c r="G86" s="6">
        <v>450</v>
      </c>
      <c r="H86" s="6">
        <v>575</v>
      </c>
      <c r="I86" s="6">
        <v>135</v>
      </c>
      <c r="J86" s="6">
        <v>250</v>
      </c>
      <c r="K86" s="6">
        <v>55</v>
      </c>
      <c r="L86" s="6">
        <v>55</v>
      </c>
      <c r="M86" s="6">
        <v>0</v>
      </c>
    </row>
    <row r="87" spans="1:13" ht="15" customHeight="1" x14ac:dyDescent="0.2">
      <c r="A87" s="8" t="s">
        <v>13</v>
      </c>
      <c r="B87" s="10"/>
      <c r="C87" s="10"/>
      <c r="D87" s="10"/>
      <c r="E87" s="10"/>
      <c r="F87" s="10"/>
      <c r="G87" s="10">
        <f>+(G86/F86)*0.4</f>
        <v>5.3412462908011875E-2</v>
      </c>
      <c r="H87" s="10">
        <f>+(H86/F86)*0.4</f>
        <v>6.82492581602374E-2</v>
      </c>
      <c r="I87" s="10">
        <f>+(I86/F86)*0.4</f>
        <v>1.6023738872403562E-2</v>
      </c>
      <c r="J87" s="10"/>
      <c r="K87" s="10">
        <f>+(K86/J86)*0.4</f>
        <v>8.8000000000000009E-2</v>
      </c>
      <c r="L87" s="10">
        <f>+(L86/J86)*0.4</f>
        <v>8.8000000000000009E-2</v>
      </c>
      <c r="M87" s="10">
        <f>+(M86/J86)*0.4</f>
        <v>0</v>
      </c>
    </row>
    <row r="88" spans="1:13" ht="27.75" customHeight="1" x14ac:dyDescent="0.2">
      <c r="A88" s="15" t="s">
        <v>265</v>
      </c>
      <c r="B88" s="1">
        <f>SUM(B89:B91)</f>
        <v>3</v>
      </c>
      <c r="C88" s="1">
        <f>SUM(C89:C91)</f>
        <v>3</v>
      </c>
      <c r="D88" s="1">
        <f>SUM(D89:D91)</f>
        <v>3</v>
      </c>
      <c r="E88" s="1">
        <f>SUM(E89:E91)</f>
        <v>3</v>
      </c>
      <c r="F88" s="1">
        <v>3735</v>
      </c>
      <c r="G88" s="1">
        <v>705</v>
      </c>
      <c r="H88" s="1">
        <v>899</v>
      </c>
      <c r="I88" s="1">
        <v>2060</v>
      </c>
      <c r="J88" s="1">
        <v>505</v>
      </c>
      <c r="K88" s="1">
        <v>160</v>
      </c>
      <c r="L88" s="1">
        <v>210</v>
      </c>
      <c r="M88" s="1">
        <v>255</v>
      </c>
    </row>
    <row r="89" spans="1:13" ht="15" customHeight="1" x14ac:dyDescent="0.2">
      <c r="A89" s="7" t="s">
        <v>513</v>
      </c>
      <c r="B89" s="6">
        <v>1</v>
      </c>
      <c r="C89" s="6">
        <v>1</v>
      </c>
      <c r="D89" s="6">
        <v>1</v>
      </c>
      <c r="E89" s="6">
        <v>1</v>
      </c>
      <c r="F89" s="6"/>
      <c r="G89" s="6"/>
      <c r="H89" s="6"/>
      <c r="I89" s="6"/>
      <c r="J89" s="6"/>
      <c r="K89" s="6"/>
      <c r="L89" s="6"/>
      <c r="M89" s="6"/>
    </row>
    <row r="90" spans="1:13" ht="15" customHeight="1" x14ac:dyDescent="0.2">
      <c r="A90" s="7" t="s">
        <v>332</v>
      </c>
      <c r="B90" s="6">
        <v>1</v>
      </c>
      <c r="C90" s="6">
        <v>1</v>
      </c>
      <c r="D90" s="6">
        <v>1</v>
      </c>
      <c r="E90" s="6">
        <v>1</v>
      </c>
      <c r="F90" s="6"/>
      <c r="G90" s="6"/>
      <c r="H90" s="6"/>
      <c r="I90" s="6"/>
      <c r="J90" s="6"/>
      <c r="K90" s="6"/>
      <c r="L90" s="6"/>
      <c r="M90" s="6"/>
    </row>
    <row r="91" spans="1:13" ht="15" customHeight="1" x14ac:dyDescent="0.2">
      <c r="A91" s="7" t="s">
        <v>426</v>
      </c>
      <c r="B91" s="6">
        <v>1</v>
      </c>
      <c r="C91" s="6">
        <v>1</v>
      </c>
      <c r="D91" s="6">
        <v>1</v>
      </c>
      <c r="E91" s="6">
        <v>1</v>
      </c>
      <c r="F91" s="6"/>
      <c r="G91" s="6"/>
      <c r="H91" s="6"/>
      <c r="I91" s="6"/>
      <c r="J91" s="6"/>
      <c r="K91" s="6"/>
      <c r="L91" s="6"/>
      <c r="M91" s="6"/>
    </row>
    <row r="92" spans="1:13" ht="33" customHeight="1" x14ac:dyDescent="0.2">
      <c r="A92" s="8" t="s">
        <v>13</v>
      </c>
      <c r="B92" s="14"/>
      <c r="C92" s="14">
        <f>+C88/B88</f>
        <v>1</v>
      </c>
      <c r="D92" s="14">
        <f>+D88/B88</f>
        <v>1</v>
      </c>
      <c r="E92" s="14">
        <f>+E88/B88</f>
        <v>1</v>
      </c>
      <c r="F92" s="14"/>
      <c r="G92" s="14">
        <f>+(G88/F88)*0.4</f>
        <v>7.5502008032128518E-2</v>
      </c>
      <c r="H92" s="14">
        <f>+(H88/F88)*0.4</f>
        <v>9.6278447121820626E-2</v>
      </c>
      <c r="I92" s="14">
        <f>+(I88/F88)*0.4</f>
        <v>0.22061579651941099</v>
      </c>
      <c r="J92" s="14"/>
      <c r="K92" s="14">
        <f>+(K88/J88)*0.4</f>
        <v>0.12673267326732673</v>
      </c>
      <c r="L92" s="14">
        <f>+(L88/J88)*0.4</f>
        <v>0.16633663366336635</v>
      </c>
      <c r="M92" s="14">
        <f>+(M88/J88)*0.4</f>
        <v>0.20198019801980199</v>
      </c>
    </row>
    <row r="93" spans="1:13" ht="27.75" customHeight="1" x14ac:dyDescent="0.2">
      <c r="A93" s="15" t="s">
        <v>271</v>
      </c>
      <c r="F93" s="1">
        <v>8660</v>
      </c>
      <c r="G93" s="1">
        <v>2395</v>
      </c>
      <c r="H93" s="1">
        <v>2635</v>
      </c>
      <c r="I93" s="1">
        <v>1525</v>
      </c>
      <c r="J93" s="1">
        <v>1160</v>
      </c>
      <c r="K93" s="1">
        <v>370</v>
      </c>
      <c r="L93" s="1">
        <v>390</v>
      </c>
      <c r="M93" s="1">
        <v>965</v>
      </c>
    </row>
    <row r="94" spans="1:13" ht="15" customHeight="1" x14ac:dyDescent="0.2">
      <c r="A94" s="8" t="s">
        <v>13</v>
      </c>
      <c r="B94" s="14"/>
      <c r="C94" s="14"/>
      <c r="D94" s="14"/>
      <c r="E94" s="14"/>
      <c r="F94" s="14"/>
      <c r="G94" s="14">
        <f>+(G93/F93)*0.4</f>
        <v>0.11062355658198615</v>
      </c>
      <c r="H94" s="14">
        <f>+(H93/F93)*0.4</f>
        <v>0.12170900692840647</v>
      </c>
      <c r="I94" s="14">
        <f>+(I93/F93)*0.4</f>
        <v>7.0438799076212463E-2</v>
      </c>
      <c r="J94" s="14"/>
      <c r="K94" s="14">
        <f>+(K93/J93)*0.4</f>
        <v>0.12758620689655173</v>
      </c>
      <c r="L94" s="14">
        <f>+(L93/J93)*0.4</f>
        <v>0.13448275862068967</v>
      </c>
      <c r="M94" s="14">
        <f>+(M93/J93)*0.4</f>
        <v>0.33275862068965517</v>
      </c>
    </row>
    <row r="95" spans="1:13" ht="15" customHeight="1" x14ac:dyDescent="0.2">
      <c r="A95" s="18" t="s">
        <v>121</v>
      </c>
      <c r="B95" s="6">
        <f>SUM(B96:B96)</f>
        <v>1</v>
      </c>
      <c r="C95" s="6">
        <f>SUM(C96:C96)</f>
        <v>0</v>
      </c>
      <c r="D95" s="6">
        <f>SUM(D96:D96)</f>
        <v>0</v>
      </c>
      <c r="E95" s="6">
        <f>SUM(E96:E96)</f>
        <v>1</v>
      </c>
      <c r="F95" s="6">
        <v>2630</v>
      </c>
      <c r="G95" s="6">
        <v>380</v>
      </c>
      <c r="H95" s="6">
        <v>484</v>
      </c>
      <c r="I95" s="6">
        <v>2270</v>
      </c>
      <c r="J95" s="6">
        <v>190</v>
      </c>
      <c r="K95" s="6">
        <v>15</v>
      </c>
      <c r="L95" s="6">
        <v>15</v>
      </c>
      <c r="M95" s="6">
        <v>190</v>
      </c>
    </row>
    <row r="96" spans="1:13" ht="15" customHeight="1" x14ac:dyDescent="0.2">
      <c r="A96" s="7" t="s">
        <v>441</v>
      </c>
      <c r="B96" s="6">
        <v>1</v>
      </c>
      <c r="C96" s="6"/>
      <c r="D96" s="6"/>
      <c r="E96" s="6">
        <v>1</v>
      </c>
      <c r="F96" s="6"/>
      <c r="G96" s="6"/>
      <c r="H96" s="6"/>
      <c r="I96" s="6"/>
      <c r="J96" s="6"/>
      <c r="K96" s="6"/>
      <c r="L96" s="6"/>
      <c r="M96" s="6"/>
    </row>
    <row r="97" spans="1:13" ht="15" customHeight="1" x14ac:dyDescent="0.2">
      <c r="A97" s="8" t="s">
        <v>13</v>
      </c>
      <c r="B97" s="10"/>
      <c r="C97" s="10">
        <f>+C95/B95</f>
        <v>0</v>
      </c>
      <c r="D97" s="10">
        <f>+D95/B95</f>
        <v>0</v>
      </c>
      <c r="E97" s="10">
        <f>+E95/B95</f>
        <v>1</v>
      </c>
      <c r="F97" s="10"/>
      <c r="G97" s="10">
        <f>+(G95/F95)*0.5</f>
        <v>7.2243346007604556E-2</v>
      </c>
      <c r="H97" s="10">
        <f>+(H95/F95)*0.5</f>
        <v>9.2015209125475284E-2</v>
      </c>
      <c r="I97" s="10">
        <f>+(I95/F95)*0.5</f>
        <v>0.43155893536121676</v>
      </c>
      <c r="J97" s="10"/>
      <c r="K97" s="10">
        <f>+(K95/J95)*0.3</f>
        <v>2.3684210526315787E-2</v>
      </c>
      <c r="L97" s="10">
        <f>+(L95/J95)*0.3</f>
        <v>2.3684210526315787E-2</v>
      </c>
      <c r="M97" s="10">
        <f>+(M95/J95)*0.3</f>
        <v>0.3</v>
      </c>
    </row>
    <row r="98" spans="1:13" ht="15" customHeight="1" x14ac:dyDescent="0.2">
      <c r="A98" s="12" t="s">
        <v>122</v>
      </c>
      <c r="B98" s="1">
        <f>SUM(B99:B103)</f>
        <v>10</v>
      </c>
      <c r="C98" s="1">
        <f>SUM(C99:C103)</f>
        <v>0</v>
      </c>
      <c r="D98" s="1">
        <f>SUM(D99:D103)</f>
        <v>0</v>
      </c>
      <c r="E98" s="1">
        <f>SUM(E99:E103)</f>
        <v>10</v>
      </c>
      <c r="F98" s="1">
        <v>37740</v>
      </c>
      <c r="G98" s="1">
        <v>4130</v>
      </c>
      <c r="H98" s="1">
        <v>5530</v>
      </c>
      <c r="I98" s="1">
        <v>11875</v>
      </c>
      <c r="J98" s="1">
        <v>5550</v>
      </c>
      <c r="K98" s="1">
        <v>375</v>
      </c>
      <c r="L98" s="1">
        <v>775</v>
      </c>
      <c r="M98" s="1">
        <v>1580</v>
      </c>
    </row>
    <row r="99" spans="1:13" ht="15" customHeight="1" x14ac:dyDescent="0.2">
      <c r="A99" s="7" t="s">
        <v>220</v>
      </c>
      <c r="B99" s="6">
        <v>1</v>
      </c>
      <c r="C99" s="6"/>
      <c r="D99" s="6"/>
      <c r="E99" s="6">
        <v>1</v>
      </c>
      <c r="F99" s="6"/>
      <c r="G99" s="6"/>
      <c r="H99" s="6"/>
      <c r="I99" s="6"/>
      <c r="J99" s="6"/>
      <c r="K99" s="6"/>
      <c r="L99" s="6"/>
      <c r="M99" s="6"/>
    </row>
    <row r="100" spans="1:13" ht="15" customHeight="1" x14ac:dyDescent="0.2">
      <c r="A100" s="7" t="s">
        <v>509</v>
      </c>
      <c r="B100" s="6">
        <v>1</v>
      </c>
      <c r="C100" s="6"/>
      <c r="D100" s="6"/>
      <c r="E100" s="6">
        <v>1</v>
      </c>
      <c r="F100" s="6"/>
      <c r="G100" s="6"/>
      <c r="H100" s="6"/>
      <c r="I100" s="6"/>
      <c r="J100" s="6"/>
      <c r="K100" s="6"/>
      <c r="L100" s="6"/>
      <c r="M100" s="6"/>
    </row>
    <row r="101" spans="1:13" ht="15" customHeight="1" x14ac:dyDescent="0.2">
      <c r="A101" s="7" t="s">
        <v>507</v>
      </c>
      <c r="B101" s="6">
        <v>1</v>
      </c>
      <c r="C101" s="6"/>
      <c r="D101" s="6"/>
      <c r="E101" s="6">
        <v>1</v>
      </c>
      <c r="F101" s="6"/>
      <c r="G101" s="6"/>
      <c r="H101" s="6"/>
      <c r="I101" s="6"/>
      <c r="J101" s="6"/>
      <c r="K101" s="6"/>
      <c r="L101" s="6"/>
      <c r="M101" s="6"/>
    </row>
    <row r="102" spans="1:13" ht="15" customHeight="1" x14ac:dyDescent="0.2">
      <c r="A102" s="7" t="s">
        <v>508</v>
      </c>
      <c r="B102" s="6">
        <v>1</v>
      </c>
      <c r="C102" s="6"/>
      <c r="D102" s="6"/>
      <c r="E102" s="6">
        <v>1</v>
      </c>
      <c r="F102" s="6"/>
      <c r="G102" s="6"/>
      <c r="H102" s="6"/>
      <c r="I102" s="6"/>
      <c r="J102" s="6"/>
      <c r="K102" s="6"/>
      <c r="L102" s="6"/>
      <c r="M102" s="6"/>
    </row>
    <row r="103" spans="1:13" ht="15" customHeight="1" x14ac:dyDescent="0.2">
      <c r="A103" s="7" t="s">
        <v>192</v>
      </c>
      <c r="B103" s="1">
        <v>6</v>
      </c>
      <c r="E103" s="1">
        <v>6</v>
      </c>
    </row>
    <row r="104" spans="1:13" ht="15" customHeight="1" x14ac:dyDescent="0.2">
      <c r="A104" s="8" t="s">
        <v>13</v>
      </c>
      <c r="B104" s="14"/>
      <c r="C104" s="14">
        <f>+C98/B98</f>
        <v>0</v>
      </c>
      <c r="D104" s="14">
        <f>+D98/B98</f>
        <v>0</v>
      </c>
      <c r="E104" s="14">
        <f>+E98/B98</f>
        <v>1</v>
      </c>
      <c r="F104" s="14"/>
      <c r="G104" s="14">
        <f>+(G98/F98)*0.4</f>
        <v>4.3773184949655541E-2</v>
      </c>
      <c r="H104" s="14">
        <f>+(H98/F98)*0.4</f>
        <v>5.8611552729199795E-2</v>
      </c>
      <c r="I104" s="14">
        <f>+(I98/F98)*0.4</f>
        <v>0.12586115527291999</v>
      </c>
      <c r="J104" s="14"/>
      <c r="K104" s="14">
        <f>+(K98/J98)*0.4</f>
        <v>2.7027027027027029E-2</v>
      </c>
      <c r="L104" s="14">
        <f>+(L98/J98)*0.4</f>
        <v>5.5855855855855854E-2</v>
      </c>
      <c r="M104" s="14">
        <f>+(M98/J98)*0.4</f>
        <v>0.11387387387387388</v>
      </c>
    </row>
    <row r="105" spans="1:13" ht="15" customHeight="1" x14ac:dyDescent="0.2">
      <c r="A105" s="18" t="s">
        <v>272</v>
      </c>
      <c r="B105" s="6">
        <f>SUM(B106:B106)</f>
        <v>1</v>
      </c>
      <c r="C105" s="6">
        <f>SUM(C106:C106)</f>
        <v>0</v>
      </c>
      <c r="D105" s="6">
        <f>SUM(D106:D106)</f>
        <v>0</v>
      </c>
      <c r="E105" s="6">
        <f>SUM(E106:E106)</f>
        <v>1</v>
      </c>
      <c r="F105" s="6">
        <v>900</v>
      </c>
      <c r="G105" s="6">
        <v>70</v>
      </c>
      <c r="H105" s="6">
        <v>110</v>
      </c>
      <c r="I105" s="6">
        <v>795</v>
      </c>
      <c r="J105" s="6">
        <v>70</v>
      </c>
      <c r="K105" s="6">
        <v>0</v>
      </c>
      <c r="L105" s="6">
        <v>0</v>
      </c>
      <c r="M105" s="6">
        <v>70</v>
      </c>
    </row>
    <row r="106" spans="1:13" ht="15" customHeight="1" x14ac:dyDescent="0.2">
      <c r="A106" s="7" t="s">
        <v>246</v>
      </c>
      <c r="B106" s="6">
        <v>1</v>
      </c>
      <c r="C106" s="6"/>
      <c r="D106" s="6"/>
      <c r="E106" s="6">
        <v>1</v>
      </c>
      <c r="F106" s="6"/>
      <c r="G106" s="6"/>
      <c r="H106" s="6"/>
      <c r="I106" s="6"/>
      <c r="J106" s="6"/>
      <c r="K106" s="6"/>
      <c r="L106" s="6"/>
      <c r="M106" s="6"/>
    </row>
    <row r="107" spans="1:13" ht="15" customHeight="1" x14ac:dyDescent="0.2">
      <c r="A107" s="8" t="s">
        <v>13</v>
      </c>
      <c r="B107" s="10"/>
      <c r="C107" s="10">
        <f>+C105/B105</f>
        <v>0</v>
      </c>
      <c r="D107" s="10">
        <f>+D105/B105</f>
        <v>0</v>
      </c>
      <c r="E107" s="10">
        <f>+E105/B105</f>
        <v>1</v>
      </c>
      <c r="F107" s="10"/>
      <c r="G107" s="10">
        <f>+(G105/F105)*0.5</f>
        <v>3.888888888888889E-2</v>
      </c>
      <c r="H107" s="10">
        <f>+(H105/F105)*0.5</f>
        <v>6.1111111111111109E-2</v>
      </c>
      <c r="I107" s="10">
        <f>+(I105/F105)*0.5</f>
        <v>0.44166666666666665</v>
      </c>
      <c r="J107" s="10"/>
      <c r="K107" s="10">
        <f>+(K105/J105)*0.3</f>
        <v>0</v>
      </c>
      <c r="L107" s="10">
        <f>+(L105/J105)*0.3</f>
        <v>0</v>
      </c>
      <c r="M107" s="10">
        <f>+(M105/J105)*0.3</f>
        <v>0.3</v>
      </c>
    </row>
    <row r="108" spans="1:13" ht="15" customHeight="1" x14ac:dyDescent="0.2">
      <c r="A108" s="12" t="s">
        <v>123</v>
      </c>
      <c r="B108" s="1">
        <f>SUM(B109:B115)</f>
        <v>8</v>
      </c>
      <c r="C108" s="1">
        <f>SUM(C109:C115)</f>
        <v>2</v>
      </c>
      <c r="D108" s="1">
        <f>SUM(D109:D115)</f>
        <v>2</v>
      </c>
      <c r="E108" s="1">
        <f>SUM(E109:E115)</f>
        <v>4</v>
      </c>
      <c r="F108" s="1">
        <v>2360</v>
      </c>
      <c r="G108" s="1">
        <v>610</v>
      </c>
      <c r="H108" s="1">
        <v>705</v>
      </c>
      <c r="I108" s="1">
        <v>1260</v>
      </c>
      <c r="J108" s="1">
        <v>420</v>
      </c>
      <c r="K108" s="1">
        <v>125</v>
      </c>
      <c r="L108" s="1">
        <v>135</v>
      </c>
      <c r="M108" s="1">
        <v>110</v>
      </c>
    </row>
    <row r="109" spans="1:13" ht="15" customHeight="1" x14ac:dyDescent="0.2">
      <c r="A109" s="24" t="s">
        <v>440</v>
      </c>
      <c r="B109" s="6">
        <v>1</v>
      </c>
      <c r="C109" s="6">
        <v>1</v>
      </c>
      <c r="D109" s="6">
        <v>1</v>
      </c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5" customHeight="1" x14ac:dyDescent="0.2">
      <c r="A110" s="24" t="s">
        <v>438</v>
      </c>
      <c r="B110" s="6">
        <v>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5" customHeight="1" x14ac:dyDescent="0.2">
      <c r="A111" s="7" t="s">
        <v>510</v>
      </c>
      <c r="B111" s="6">
        <v>1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ht="15" customHeight="1" x14ac:dyDescent="0.2">
      <c r="A112" s="7" t="s">
        <v>511</v>
      </c>
      <c r="B112" s="6">
        <v>2</v>
      </c>
      <c r="C112" s="6">
        <v>1</v>
      </c>
      <c r="D112" s="6">
        <v>1</v>
      </c>
      <c r="E112" s="6">
        <v>1</v>
      </c>
      <c r="F112" s="6"/>
      <c r="G112" s="6"/>
      <c r="H112" s="6"/>
      <c r="I112" s="6"/>
      <c r="J112" s="6"/>
      <c r="K112" s="6"/>
      <c r="L112" s="6"/>
      <c r="M112" s="6"/>
    </row>
    <row r="113" spans="1:13" ht="15" customHeight="1" x14ac:dyDescent="0.2">
      <c r="A113" s="24" t="s">
        <v>436</v>
      </c>
      <c r="B113" s="6">
        <v>1</v>
      </c>
      <c r="C113" s="6"/>
      <c r="D113" s="6"/>
      <c r="E113" s="6">
        <v>1</v>
      </c>
      <c r="F113" s="6"/>
      <c r="G113" s="6"/>
      <c r="H113" s="6"/>
      <c r="I113" s="6"/>
      <c r="J113" s="6"/>
      <c r="K113" s="6"/>
      <c r="L113" s="6"/>
      <c r="M113" s="6"/>
    </row>
    <row r="114" spans="1:13" ht="15" customHeight="1" x14ac:dyDescent="0.2">
      <c r="A114" s="24" t="s">
        <v>423</v>
      </c>
      <c r="B114" s="6">
        <v>1</v>
      </c>
      <c r="C114" s="6"/>
      <c r="D114" s="6"/>
      <c r="E114" s="6">
        <v>1</v>
      </c>
      <c r="F114" s="6"/>
      <c r="G114" s="6"/>
      <c r="H114" s="6"/>
      <c r="I114" s="6"/>
      <c r="J114" s="6"/>
      <c r="K114" s="6"/>
      <c r="L114" s="6"/>
      <c r="M114" s="6"/>
    </row>
    <row r="115" spans="1:13" ht="15" customHeight="1" x14ac:dyDescent="0.2">
      <c r="A115" s="7" t="s">
        <v>198</v>
      </c>
      <c r="B115" s="1">
        <v>1</v>
      </c>
      <c r="E115" s="1">
        <v>1</v>
      </c>
      <c r="F115" s="6"/>
      <c r="G115" s="6"/>
      <c r="H115" s="6"/>
      <c r="I115" s="6"/>
      <c r="J115" s="6"/>
      <c r="K115" s="6"/>
      <c r="L115" s="6"/>
      <c r="M115" s="6"/>
    </row>
    <row r="116" spans="1:13" ht="15" customHeight="1" x14ac:dyDescent="0.2">
      <c r="A116" s="8" t="s">
        <v>13</v>
      </c>
      <c r="B116" s="14"/>
      <c r="C116" s="14">
        <f>+C108/B108</f>
        <v>0.25</v>
      </c>
      <c r="D116" s="14">
        <f>+D108/B108</f>
        <v>0.25</v>
      </c>
      <c r="E116" s="14">
        <f>+E108/B108</f>
        <v>0.5</v>
      </c>
      <c r="F116" s="14"/>
      <c r="G116" s="14">
        <f>+(G108/F108)*0.4</f>
        <v>0.10338983050847457</v>
      </c>
      <c r="H116" s="14">
        <f>+(H108/F108)*0.4</f>
        <v>0.11949152542372882</v>
      </c>
      <c r="I116" s="14">
        <f>+(I108/F108)*0.4</f>
        <v>0.21355932203389832</v>
      </c>
      <c r="J116" s="14"/>
      <c r="K116" s="14">
        <f>+(K108/J108)*0.4</f>
        <v>0.11904761904761905</v>
      </c>
      <c r="L116" s="14">
        <f>+(L108/J108)*0.4</f>
        <v>0.12857142857142859</v>
      </c>
      <c r="M116" s="14">
        <f>+(M108/J108)*0.4</f>
        <v>0.10476190476190478</v>
      </c>
    </row>
    <row r="117" spans="1:13" ht="15" customHeight="1" x14ac:dyDescent="0.2">
      <c r="A117" s="18" t="s">
        <v>289</v>
      </c>
      <c r="B117" s="6">
        <f>SUM(B118:B118)</f>
        <v>1</v>
      </c>
      <c r="C117" s="6">
        <f>SUM(C118:C118)</f>
        <v>0</v>
      </c>
      <c r="D117" s="6">
        <f>SUM(D118:D118)</f>
        <v>0</v>
      </c>
      <c r="E117" s="6">
        <f>SUM(E118:E118)</f>
        <v>0</v>
      </c>
      <c r="F117" s="6">
        <v>1815</v>
      </c>
      <c r="G117" s="6">
        <v>190</v>
      </c>
      <c r="H117" s="6">
        <v>224</v>
      </c>
      <c r="I117" s="6">
        <v>1015</v>
      </c>
      <c r="J117" s="6">
        <v>190</v>
      </c>
      <c r="K117" s="6">
        <v>10</v>
      </c>
      <c r="L117" s="6">
        <v>14</v>
      </c>
      <c r="M117" s="6">
        <v>135</v>
      </c>
    </row>
    <row r="118" spans="1:13" ht="15" customHeight="1" x14ac:dyDescent="0.2">
      <c r="A118" s="7" t="s">
        <v>274</v>
      </c>
      <c r="B118" s="6">
        <v>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ht="15" customHeight="1" x14ac:dyDescent="0.2">
      <c r="A119" s="8" t="s">
        <v>13</v>
      </c>
      <c r="B119" s="10"/>
      <c r="C119" s="10">
        <f>+C117/B117</f>
        <v>0</v>
      </c>
      <c r="D119" s="10">
        <f>+D117/B117</f>
        <v>0</v>
      </c>
      <c r="E119" s="10">
        <f>+E117/B117</f>
        <v>0</v>
      </c>
      <c r="F119" s="10"/>
      <c r="G119" s="10">
        <f>+(G117/F117)*0.5</f>
        <v>5.2341597796143252E-2</v>
      </c>
      <c r="H119" s="10">
        <f>+(H117/F117)*0.5</f>
        <v>6.1707988980716257E-2</v>
      </c>
      <c r="I119" s="10">
        <f>+(I117/F117)*0.5</f>
        <v>0.27961432506887052</v>
      </c>
      <c r="J119" s="10"/>
      <c r="K119" s="10">
        <f>+(K117/J117)*0.3</f>
        <v>1.5789473684210523E-2</v>
      </c>
      <c r="L119" s="10">
        <f>+(L117/J117)*0.3</f>
        <v>2.2105263157894735E-2</v>
      </c>
      <c r="M119" s="10">
        <f>+(M117/J117)*0.3</f>
        <v>0.2131578947368421</v>
      </c>
    </row>
    <row r="120" spans="1:13" ht="15" customHeight="1" x14ac:dyDescent="0.2">
      <c r="A120" s="12" t="s">
        <v>255</v>
      </c>
      <c r="B120" s="1">
        <f>SUM(B121:B131)</f>
        <v>11</v>
      </c>
      <c r="C120" s="1">
        <f>SUM(C121:C131)</f>
        <v>3</v>
      </c>
      <c r="D120" s="1">
        <f>SUM(D121:D131)</f>
        <v>5</v>
      </c>
      <c r="E120" s="1">
        <f>SUM(E121:E131)</f>
        <v>8</v>
      </c>
      <c r="F120" s="1">
        <v>595</v>
      </c>
      <c r="G120" s="1">
        <v>100</v>
      </c>
      <c r="H120" s="1">
        <v>150</v>
      </c>
      <c r="I120" s="1">
        <v>310</v>
      </c>
      <c r="J120" s="1">
        <v>50</v>
      </c>
      <c r="K120" s="1">
        <v>10</v>
      </c>
      <c r="L120" s="1">
        <v>10</v>
      </c>
      <c r="M120" s="1">
        <v>30</v>
      </c>
    </row>
    <row r="121" spans="1:13" ht="15" customHeight="1" x14ac:dyDescent="0.2">
      <c r="A121" s="1" t="s">
        <v>431</v>
      </c>
      <c r="B121" s="1">
        <v>1</v>
      </c>
      <c r="C121" s="1">
        <v>1</v>
      </c>
      <c r="D121" s="1">
        <v>1</v>
      </c>
      <c r="E121" s="1">
        <v>1</v>
      </c>
    </row>
    <row r="122" spans="1:13" ht="15" customHeight="1" x14ac:dyDescent="0.2">
      <c r="A122" s="1" t="s">
        <v>432</v>
      </c>
      <c r="B122" s="1">
        <v>1</v>
      </c>
      <c r="E122" s="1">
        <v>1</v>
      </c>
    </row>
    <row r="123" spans="1:13" ht="15" customHeight="1" x14ac:dyDescent="0.2">
      <c r="A123" s="7" t="s">
        <v>427</v>
      </c>
      <c r="B123" s="6">
        <v>1</v>
      </c>
      <c r="C123" s="6"/>
      <c r="D123" s="6"/>
      <c r="E123" s="6">
        <v>1</v>
      </c>
      <c r="F123" s="6"/>
      <c r="G123" s="6"/>
      <c r="H123" s="6"/>
      <c r="I123" s="6"/>
      <c r="J123" s="6"/>
      <c r="K123" s="6"/>
      <c r="L123" s="6"/>
      <c r="M123" s="6"/>
    </row>
    <row r="124" spans="1:13" ht="15" customHeight="1" x14ac:dyDescent="0.2">
      <c r="A124" s="7" t="s">
        <v>428</v>
      </c>
      <c r="B124" s="6">
        <v>1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ht="15" customHeight="1" x14ac:dyDescent="0.2">
      <c r="A125" s="7" t="s">
        <v>429</v>
      </c>
      <c r="B125" s="6">
        <v>1</v>
      </c>
      <c r="C125" s="6">
        <v>1</v>
      </c>
      <c r="D125" s="6">
        <v>1</v>
      </c>
      <c r="E125" s="6">
        <v>1</v>
      </c>
      <c r="F125" s="6"/>
      <c r="G125" s="6"/>
      <c r="H125" s="6"/>
      <c r="I125" s="6"/>
      <c r="J125" s="6"/>
      <c r="K125" s="6"/>
      <c r="L125" s="6"/>
      <c r="M125" s="6"/>
    </row>
    <row r="126" spans="1:13" ht="15" customHeight="1" x14ac:dyDescent="0.2">
      <c r="A126" s="7" t="s">
        <v>430</v>
      </c>
      <c r="B126" s="6">
        <v>1</v>
      </c>
      <c r="C126" s="6"/>
      <c r="D126" s="6">
        <v>1</v>
      </c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15" customHeight="1" x14ac:dyDescent="0.2">
      <c r="A127" s="7" t="s">
        <v>273</v>
      </c>
      <c r="B127" s="6">
        <v>1</v>
      </c>
      <c r="C127" s="6">
        <v>1</v>
      </c>
      <c r="D127" s="6">
        <v>1</v>
      </c>
      <c r="E127" s="6">
        <v>1</v>
      </c>
      <c r="F127" s="6"/>
      <c r="G127" s="6"/>
      <c r="H127" s="6"/>
      <c r="I127" s="6"/>
      <c r="J127" s="6"/>
      <c r="K127" s="6"/>
      <c r="L127" s="6"/>
      <c r="M127" s="6"/>
    </row>
    <row r="128" spans="1:13" ht="15" customHeight="1" x14ac:dyDescent="0.2">
      <c r="A128" s="7" t="s">
        <v>512</v>
      </c>
      <c r="B128" s="6">
        <v>1</v>
      </c>
      <c r="C128" s="6"/>
      <c r="D128" s="6"/>
      <c r="E128" s="6">
        <v>1</v>
      </c>
      <c r="F128" s="6"/>
      <c r="G128" s="6"/>
      <c r="H128" s="6"/>
      <c r="I128" s="6"/>
      <c r="J128" s="6"/>
      <c r="K128" s="6"/>
      <c r="L128" s="6"/>
      <c r="M128" s="6"/>
    </row>
    <row r="129" spans="1:13" ht="15" customHeight="1" x14ac:dyDescent="0.2">
      <c r="A129" s="7" t="s">
        <v>284</v>
      </c>
      <c r="B129" s="1">
        <v>1</v>
      </c>
      <c r="D129" s="1">
        <v>1</v>
      </c>
      <c r="E129" s="1">
        <v>1</v>
      </c>
    </row>
    <row r="130" spans="1:13" ht="15" customHeight="1" x14ac:dyDescent="0.2">
      <c r="A130" s="7" t="s">
        <v>221</v>
      </c>
      <c r="B130" s="1">
        <v>1</v>
      </c>
      <c r="E130" s="1">
        <v>1</v>
      </c>
    </row>
    <row r="131" spans="1:13" ht="15" customHeight="1" x14ac:dyDescent="0.2">
      <c r="A131" s="7" t="s">
        <v>283</v>
      </c>
      <c r="B131" s="1">
        <v>1</v>
      </c>
    </row>
    <row r="132" spans="1:13" ht="15" customHeight="1" x14ac:dyDescent="0.2">
      <c r="A132" s="8" t="s">
        <v>13</v>
      </c>
      <c r="B132" s="14"/>
      <c r="C132" s="14">
        <f>+C120/B120</f>
        <v>0.27272727272727271</v>
      </c>
      <c r="D132" s="14">
        <f>+D120/B120</f>
        <v>0.45454545454545453</v>
      </c>
      <c r="E132" s="14">
        <f>+E120/B120</f>
        <v>0.72727272727272729</v>
      </c>
      <c r="F132" s="14"/>
      <c r="G132" s="14">
        <f>+(G120/F120)*0.4</f>
        <v>6.7226890756302532E-2</v>
      </c>
      <c r="H132" s="14">
        <f>+(H120/F120)*0.4</f>
        <v>0.10084033613445378</v>
      </c>
      <c r="I132" s="14">
        <f>+(I120/F120)*0.4</f>
        <v>0.20840336134453785</v>
      </c>
      <c r="J132" s="14"/>
      <c r="K132" s="14">
        <f>+(K120/J120)*0.4</f>
        <v>8.0000000000000016E-2</v>
      </c>
      <c r="L132" s="14">
        <f>+(L120/J120)*0.4</f>
        <v>8.0000000000000016E-2</v>
      </c>
      <c r="M132" s="14">
        <f>+(M120/J120)*0.4</f>
        <v>0.24</v>
      </c>
    </row>
    <row r="133" spans="1:13" ht="15" customHeight="1" x14ac:dyDescent="0.2">
      <c r="A133" s="12" t="s">
        <v>63</v>
      </c>
      <c r="B133" s="1">
        <f>SUM(B134:B134)</f>
        <v>1</v>
      </c>
      <c r="C133" s="1">
        <f>SUM(C134:C134)</f>
        <v>1</v>
      </c>
      <c r="D133" s="1">
        <f>SUM(D134:D134)</f>
        <v>1</v>
      </c>
      <c r="E133" s="1">
        <f>SUM(E134:E134)</f>
        <v>1</v>
      </c>
      <c r="F133" s="1">
        <v>3445</v>
      </c>
      <c r="G133" s="1">
        <v>480</v>
      </c>
      <c r="H133" s="1">
        <v>570</v>
      </c>
      <c r="I133" s="1">
        <v>1915</v>
      </c>
      <c r="J133" s="1">
        <v>875</v>
      </c>
      <c r="K133" s="1">
        <v>200</v>
      </c>
      <c r="L133" s="1">
        <v>239</v>
      </c>
      <c r="M133" s="1">
        <v>580</v>
      </c>
    </row>
    <row r="134" spans="1:13" ht="15" customHeight="1" x14ac:dyDescent="0.2">
      <c r="A134" s="7" t="s">
        <v>433</v>
      </c>
      <c r="B134" s="6">
        <v>1</v>
      </c>
      <c r="C134" s="6">
        <v>1</v>
      </c>
      <c r="D134" s="6">
        <v>1</v>
      </c>
      <c r="E134" s="6">
        <v>1</v>
      </c>
      <c r="F134" s="6"/>
      <c r="G134" s="6"/>
      <c r="H134" s="6"/>
      <c r="I134" s="6"/>
      <c r="J134" s="6"/>
      <c r="K134" s="6"/>
      <c r="L134" s="6"/>
      <c r="M134" s="6"/>
    </row>
    <row r="135" spans="1:13" ht="15" customHeight="1" x14ac:dyDescent="0.2">
      <c r="A135" s="8" t="s">
        <v>13</v>
      </c>
      <c r="B135" s="14"/>
      <c r="C135" s="14">
        <f>+C133/B133</f>
        <v>1</v>
      </c>
      <c r="D135" s="14">
        <f>+D133/B133</f>
        <v>1</v>
      </c>
      <c r="E135" s="14">
        <f>+E133/B133</f>
        <v>1</v>
      </c>
      <c r="F135" s="14"/>
      <c r="G135" s="14">
        <f>+(G133/F133)*0.4</f>
        <v>5.5732946298984037E-2</v>
      </c>
      <c r="H135" s="14">
        <f>+(H133/F133)*0.4</f>
        <v>6.6182873730043543E-2</v>
      </c>
      <c r="I135" s="14">
        <f>+(I133/F133)*0.4</f>
        <v>0.22235123367198839</v>
      </c>
      <c r="J135" s="14"/>
      <c r="K135" s="14">
        <f>+(K133/J133)*0.4</f>
        <v>9.1428571428571428E-2</v>
      </c>
      <c r="L135" s="14">
        <f>+(L133/J133)*0.4</f>
        <v>0.10925714285714286</v>
      </c>
      <c r="M135" s="14">
        <f>+(M133/J133)*0.4</f>
        <v>0.26514285714285712</v>
      </c>
    </row>
    <row r="136" spans="1:13" ht="15" customHeight="1" x14ac:dyDescent="0.2">
      <c r="A136" s="12" t="s">
        <v>340</v>
      </c>
      <c r="B136" s="1">
        <f>SUM(B137:B138)</f>
        <v>2</v>
      </c>
      <c r="C136" s="1">
        <f t="shared" ref="C136:E136" si="2">SUM(C137:C138)</f>
        <v>0</v>
      </c>
      <c r="D136" s="1">
        <f t="shared" si="2"/>
        <v>0</v>
      </c>
      <c r="E136" s="1">
        <f t="shared" si="2"/>
        <v>2</v>
      </c>
      <c r="F136" s="1">
        <v>10005</v>
      </c>
      <c r="G136" s="1">
        <v>3115</v>
      </c>
      <c r="H136" s="1">
        <v>3249</v>
      </c>
      <c r="I136" s="1">
        <v>9860</v>
      </c>
      <c r="J136" s="1">
        <v>790</v>
      </c>
      <c r="K136" s="1">
        <v>205</v>
      </c>
      <c r="L136" s="1">
        <v>265</v>
      </c>
      <c r="M136" s="1">
        <v>790</v>
      </c>
    </row>
    <row r="137" spans="1:13" ht="15" customHeight="1" x14ac:dyDescent="0.2">
      <c r="A137" s="7" t="s">
        <v>434</v>
      </c>
      <c r="B137" s="6">
        <v>1</v>
      </c>
      <c r="C137" s="6"/>
      <c r="D137" s="6"/>
      <c r="E137" s="6">
        <v>1</v>
      </c>
      <c r="F137" s="6"/>
      <c r="G137" s="6"/>
      <c r="H137" s="6"/>
      <c r="I137" s="6"/>
      <c r="J137" s="6"/>
      <c r="K137" s="6"/>
      <c r="L137" s="6"/>
      <c r="M137" s="6"/>
    </row>
    <row r="138" spans="1:13" ht="15" customHeight="1" x14ac:dyDescent="0.2">
      <c r="A138" s="7" t="s">
        <v>435</v>
      </c>
      <c r="B138" s="6">
        <v>1</v>
      </c>
      <c r="C138" s="6"/>
      <c r="D138" s="6"/>
      <c r="E138" s="6">
        <v>1</v>
      </c>
      <c r="F138" s="6"/>
      <c r="G138" s="6"/>
      <c r="H138" s="6"/>
      <c r="I138" s="6"/>
      <c r="J138" s="6"/>
      <c r="K138" s="6"/>
      <c r="L138" s="6"/>
      <c r="M138" s="6"/>
    </row>
    <row r="139" spans="1:13" ht="15" customHeight="1" x14ac:dyDescent="0.2">
      <c r="A139" s="8" t="s">
        <v>13</v>
      </c>
      <c r="B139" s="14"/>
      <c r="C139" s="14">
        <f>+C136/B136</f>
        <v>0</v>
      </c>
      <c r="D139" s="14">
        <f>+D136/B136</f>
        <v>0</v>
      </c>
      <c r="E139" s="14">
        <f>+E136/B136</f>
        <v>1</v>
      </c>
      <c r="F139" s="14"/>
      <c r="G139" s="14">
        <f>+(G136/F136)*0.4</f>
        <v>0.12453773113443278</v>
      </c>
      <c r="H139" s="14">
        <f>+(H136/F136)*0.4</f>
        <v>0.12989505247376312</v>
      </c>
      <c r="I139" s="14">
        <f>+(I136/F136)*0.4</f>
        <v>0.39420289855072466</v>
      </c>
      <c r="J139" s="14"/>
      <c r="K139" s="14">
        <f>+(K136/J136)*0.4</f>
        <v>0.10379746835443038</v>
      </c>
      <c r="L139" s="14">
        <f>+(L136/J136)*0.4</f>
        <v>0.13417721518987344</v>
      </c>
      <c r="M139" s="14">
        <f>+(M136/J136)*0.4</f>
        <v>0.4</v>
      </c>
    </row>
    <row r="140" spans="1:13" ht="15" customHeight="1" x14ac:dyDescent="0.2">
      <c r="A140" s="2" t="s">
        <v>12</v>
      </c>
      <c r="B140" s="23">
        <f>+B133+B120+B117+B108+B105+B98+B95+B88+B74+B36+B33+B29+B26+B23+B17+B14+B7+B136</f>
        <v>132</v>
      </c>
      <c r="C140" s="23">
        <f>+C133+C120+C117+C108+C105+C98+C95+C88+C74+C36+C33+C29+C26+C23+C17+C14+C7+C136</f>
        <v>18</v>
      </c>
      <c r="D140" s="23">
        <f>+D133+D120+D117+D108+D105+D98+D95+D88+D74+D36+D33+D29+D26+D23+D17+D14+D7+D136</f>
        <v>23</v>
      </c>
      <c r="E140" s="23">
        <f>+E133+E120+E117+E108+E105+E98+E95+E88+E74+E36+E33+E29+E26+E23+E17+E14+E7+E136</f>
        <v>108</v>
      </c>
      <c r="F140" s="23">
        <f t="shared" ref="F140:M140" si="3">+F133+F120+F117+F108+F105+F98+F95+F93+F88+F86+F74+F36+F33+F29+F26+F23+F17+F14+F7+F136</f>
        <v>143680</v>
      </c>
      <c r="G140" s="23">
        <f t="shared" si="3"/>
        <v>26290</v>
      </c>
      <c r="H140" s="23">
        <f t="shared" si="3"/>
        <v>30742</v>
      </c>
      <c r="I140" s="23">
        <f t="shared" si="3"/>
        <v>74855</v>
      </c>
      <c r="J140" s="23">
        <f t="shared" si="3"/>
        <v>18005</v>
      </c>
      <c r="K140" s="23">
        <f t="shared" si="3"/>
        <v>3200</v>
      </c>
      <c r="L140" s="23">
        <f t="shared" si="3"/>
        <v>4111</v>
      </c>
      <c r="M140" s="23">
        <f t="shared" si="3"/>
        <v>9445</v>
      </c>
    </row>
    <row r="141" spans="1:13" ht="15" customHeight="1" x14ac:dyDescent="0.2">
      <c r="A141" s="8" t="s">
        <v>13</v>
      </c>
      <c r="B141" s="14"/>
      <c r="C141" s="14">
        <f>C140/B140</f>
        <v>0.13636363636363635</v>
      </c>
      <c r="D141" s="14">
        <f>+D140/B140</f>
        <v>0.17424242424242425</v>
      </c>
      <c r="E141" s="14">
        <f>+E140/B140</f>
        <v>0.81818181818181823</v>
      </c>
      <c r="F141" s="14"/>
      <c r="G141" s="14">
        <f>+(G140/F140)*0.4</f>
        <v>7.3190423162583521E-2</v>
      </c>
      <c r="H141" s="14">
        <f>+(H140/F140)*0.4</f>
        <v>8.5584632516703785E-2</v>
      </c>
      <c r="I141" s="14">
        <f>+(I140/F140)*0.4</f>
        <v>0.20839365256124723</v>
      </c>
      <c r="J141" s="14"/>
      <c r="K141" s="14">
        <f>+(K140/J140)*0.4</f>
        <v>7.1091363510136077E-2</v>
      </c>
      <c r="L141" s="14">
        <f>+(L140/J140)*0.4</f>
        <v>9.1330186059427942E-2</v>
      </c>
      <c r="M141" s="14">
        <f>+(M140/J140)*0.4</f>
        <v>0.209830602610386</v>
      </c>
    </row>
    <row r="143" spans="1:13" ht="15" customHeight="1" x14ac:dyDescent="0.2">
      <c r="A143" s="2" t="s">
        <v>14</v>
      </c>
      <c r="B143" s="2" t="s">
        <v>3</v>
      </c>
      <c r="C143" s="2" t="s">
        <v>55</v>
      </c>
      <c r="D143" s="2" t="s">
        <v>4</v>
      </c>
    </row>
    <row r="145" spans="1:4" ht="15" customHeight="1" x14ac:dyDescent="0.2">
      <c r="A145" s="1" t="s">
        <v>87</v>
      </c>
      <c r="B145" s="16">
        <f>+G141</f>
        <v>7.3190423162583521E-2</v>
      </c>
      <c r="C145" s="16">
        <f>+H141</f>
        <v>8.5584632516703785E-2</v>
      </c>
      <c r="D145" s="16">
        <f>+I141</f>
        <v>0.20839365256124723</v>
      </c>
    </row>
    <row r="146" spans="1:4" ht="15" customHeight="1" x14ac:dyDescent="0.2">
      <c r="A146" s="1" t="s">
        <v>20</v>
      </c>
      <c r="B146" s="16">
        <f>+K141</f>
        <v>7.1091363510136077E-2</v>
      </c>
      <c r="C146" s="16">
        <f>+L141</f>
        <v>9.1330186059427942E-2</v>
      </c>
      <c r="D146" s="16">
        <f>+M141</f>
        <v>0.209830602610386</v>
      </c>
    </row>
    <row r="147" spans="1:4" ht="15" customHeight="1" x14ac:dyDescent="0.2">
      <c r="A147" s="1" t="s">
        <v>21</v>
      </c>
      <c r="B147" s="16">
        <v>3.8399999999999997E-2</v>
      </c>
      <c r="C147" s="16">
        <v>5.0900000000000001E-2</v>
      </c>
      <c r="D147" s="16">
        <v>0.1699</v>
      </c>
    </row>
    <row r="148" spans="1:4" ht="15" customHeight="1" x14ac:dyDescent="0.2">
      <c r="A148" s="17" t="s">
        <v>12</v>
      </c>
      <c r="B148" s="14">
        <f>SUM(B145:B147)</f>
        <v>0.18268178667271959</v>
      </c>
      <c r="C148" s="14">
        <f>SUM(C145:C147)</f>
        <v>0.22781481857613173</v>
      </c>
      <c r="D148" s="14">
        <f>SUM(D145:D147)</f>
        <v>0.58812425517163325</v>
      </c>
    </row>
  </sheetData>
  <sortState ref="A37:M72">
    <sortCondition ref="A37:A72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3"/>
  <pageSetup scale="90" orientation="landscape" r:id="rId1"/>
  <headerFooter alignWithMargins="0">
    <oddHeader>&amp;C&amp;"Times New Roman,Bold"AVAILABILITY ANALYSIS - 08/31/2018
&amp;REXHIBIT 5</oddHeader>
    <oddFooter>&amp;RUpdated: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opLeftCell="A88" zoomScaleNormal="100" workbookViewId="0">
      <selection activeCell="D108" sqref="D108"/>
    </sheetView>
  </sheetViews>
  <sheetFormatPr defaultColWidth="9.33203125" defaultRowHeight="15" customHeight="1" x14ac:dyDescent="0.2"/>
  <cols>
    <col min="1" max="1" width="41.6640625" style="1" customWidth="1"/>
    <col min="2" max="2" width="9.33203125" style="1" bestFit="1"/>
    <col min="3" max="5" width="10.1640625" style="1" bestFit="1" customWidth="1"/>
    <col min="6" max="6" width="9.6640625" style="1" bestFit="1" customWidth="1"/>
    <col min="7" max="7" width="8.83203125" style="1" bestFit="1" customWidth="1"/>
    <col min="8" max="8" width="9" style="1" bestFit="1" customWidth="1"/>
    <col min="9" max="9" width="9.5" style="1" bestFit="1" customWidth="1"/>
    <col min="10" max="10" width="7.83203125" style="1" customWidth="1"/>
    <col min="11" max="12" width="9.33203125" style="1" bestFit="1"/>
    <col min="13" max="13" width="9.5" style="1" bestFit="1" customWidth="1"/>
    <col min="14" max="16384" width="9.33203125" style="1"/>
  </cols>
  <sheetData>
    <row r="1" spans="1:13" ht="15" customHeight="1" x14ac:dyDescent="0.2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70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5</v>
      </c>
      <c r="G5" s="46"/>
      <c r="H5" s="46"/>
      <c r="I5" s="46"/>
      <c r="J5" s="46" t="s">
        <v>19</v>
      </c>
      <c r="K5" s="46"/>
      <c r="L5" s="46"/>
      <c r="M5" s="46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55</v>
      </c>
      <c r="E6" s="3" t="s">
        <v>4</v>
      </c>
      <c r="F6" s="3" t="s">
        <v>8</v>
      </c>
      <c r="G6" s="3" t="s">
        <v>3</v>
      </c>
      <c r="H6" s="3" t="s">
        <v>55</v>
      </c>
      <c r="I6" s="3" t="s">
        <v>4</v>
      </c>
      <c r="J6" s="3" t="s">
        <v>8</v>
      </c>
      <c r="K6" s="3" t="s">
        <v>3</v>
      </c>
      <c r="L6" s="3" t="s">
        <v>55</v>
      </c>
      <c r="M6" s="3" t="s">
        <v>4</v>
      </c>
    </row>
    <row r="7" spans="1:13" ht="15" customHeight="1" x14ac:dyDescent="0.2">
      <c r="A7" s="5" t="s">
        <v>61</v>
      </c>
      <c r="B7" s="6">
        <f>SUM(B8:B10)</f>
        <v>8</v>
      </c>
      <c r="C7" s="6">
        <f>SUM(C8:C10)</f>
        <v>1</v>
      </c>
      <c r="D7" s="6">
        <f>SUM(D8:D10)</f>
        <v>6</v>
      </c>
      <c r="E7" s="6">
        <f>SUM(E8:E10)</f>
        <v>6</v>
      </c>
      <c r="F7" s="6">
        <v>24340</v>
      </c>
      <c r="G7" s="6">
        <v>3510</v>
      </c>
      <c r="H7" s="6">
        <v>4205</v>
      </c>
      <c r="I7" s="6">
        <v>16235</v>
      </c>
      <c r="J7" s="6">
        <v>3070</v>
      </c>
      <c r="K7" s="6">
        <v>420</v>
      </c>
      <c r="L7" s="6">
        <v>525</v>
      </c>
      <c r="M7" s="6">
        <v>2150</v>
      </c>
    </row>
    <row r="8" spans="1:13" ht="15" customHeight="1" x14ac:dyDescent="0.2">
      <c r="A8" s="7" t="s">
        <v>442</v>
      </c>
      <c r="B8" s="6">
        <v>1</v>
      </c>
      <c r="C8" s="6">
        <v>1</v>
      </c>
      <c r="D8" s="6">
        <v>1</v>
      </c>
      <c r="E8" s="6">
        <v>1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498</v>
      </c>
      <c r="B9" s="6">
        <v>6</v>
      </c>
      <c r="C9" s="6"/>
      <c r="D9" s="6">
        <v>5</v>
      </c>
      <c r="E9" s="6">
        <v>4</v>
      </c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452</v>
      </c>
      <c r="B10" s="6">
        <v>1</v>
      </c>
      <c r="C10" s="6"/>
      <c r="D10" s="6"/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8" t="s">
        <v>13</v>
      </c>
      <c r="B11" s="9"/>
      <c r="C11" s="10">
        <f>+C7/B7</f>
        <v>0.125</v>
      </c>
      <c r="D11" s="10">
        <f>+D7/B7</f>
        <v>0.75</v>
      </c>
      <c r="E11" s="10">
        <f>+E7/B7</f>
        <v>0.75</v>
      </c>
      <c r="F11" s="9"/>
      <c r="G11" s="10">
        <f>(G7/F7)*0.4</f>
        <v>5.7682826622843054E-2</v>
      </c>
      <c r="H11" s="10">
        <f>(H7/F7)*0.4</f>
        <v>6.9104354971240761E-2</v>
      </c>
      <c r="I11" s="10">
        <f>+(I7/F7)*0.4</f>
        <v>0.26680361544782255</v>
      </c>
      <c r="J11" s="9"/>
      <c r="K11" s="10">
        <f>+(K7/J7)*0.4</f>
        <v>5.4723127035830627E-2</v>
      </c>
      <c r="L11" s="10">
        <f>+(L7/J7)*0.4</f>
        <v>6.8403908794788276E-2</v>
      </c>
      <c r="M11" s="10">
        <f>+(M7/J7)*0.4</f>
        <v>0.28013029315960913</v>
      </c>
    </row>
    <row r="12" spans="1:13" ht="15" customHeight="1" x14ac:dyDescent="0.2">
      <c r="A12" s="12" t="s">
        <v>114</v>
      </c>
      <c r="B12" s="1">
        <f>SUM(B13:B14)</f>
        <v>2</v>
      </c>
      <c r="C12" s="1">
        <f>SUM(C13:C14)</f>
        <v>0</v>
      </c>
      <c r="D12" s="1">
        <f>SUM(D13:D14)</f>
        <v>0</v>
      </c>
      <c r="E12" s="1">
        <f>SUM(E13:E14)</f>
        <v>1</v>
      </c>
      <c r="F12" s="1">
        <v>3540</v>
      </c>
      <c r="G12" s="1">
        <v>725</v>
      </c>
      <c r="H12" s="1">
        <v>872</v>
      </c>
      <c r="I12" s="1">
        <v>1185</v>
      </c>
      <c r="J12" s="1">
        <v>420</v>
      </c>
      <c r="K12" s="1">
        <v>130</v>
      </c>
      <c r="L12" s="1">
        <v>150</v>
      </c>
      <c r="M12" s="1">
        <v>80</v>
      </c>
    </row>
    <row r="13" spans="1:13" ht="15" customHeight="1" x14ac:dyDescent="0.2">
      <c r="A13" s="7" t="s">
        <v>373</v>
      </c>
      <c r="B13" s="1">
        <v>1</v>
      </c>
      <c r="E13" s="1">
        <v>1</v>
      </c>
    </row>
    <row r="14" spans="1:13" ht="15" customHeight="1" x14ac:dyDescent="0.2">
      <c r="A14" s="7" t="s">
        <v>313</v>
      </c>
      <c r="B14" s="6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8" t="s">
        <v>13</v>
      </c>
      <c r="B15" s="14"/>
      <c r="C15" s="14">
        <f>+C12/B12</f>
        <v>0</v>
      </c>
      <c r="D15" s="14">
        <f>+D12/B12</f>
        <v>0</v>
      </c>
      <c r="E15" s="14">
        <f>+E12/B12</f>
        <v>0.5</v>
      </c>
      <c r="F15" s="14"/>
      <c r="G15" s="14">
        <f>+(G12/F12)*0.3</f>
        <v>6.1440677966101691E-2</v>
      </c>
      <c r="H15" s="14">
        <f>+(H12/F12)*0.3</f>
        <v>7.3898305084745763E-2</v>
      </c>
      <c r="I15" s="14">
        <f>+(I12/F12)*0.3</f>
        <v>0.10042372881355932</v>
      </c>
      <c r="J15" s="14"/>
      <c r="K15" s="14">
        <f>+(K12/J12)*0.5</f>
        <v>0.15476190476190477</v>
      </c>
      <c r="L15" s="14">
        <f>+(L12/J12)*0.5</f>
        <v>0.17857142857142858</v>
      </c>
      <c r="M15" s="14">
        <f>+(M12/J12)*0.5</f>
        <v>9.5238095238095233E-2</v>
      </c>
    </row>
    <row r="16" spans="1:13" ht="15" customHeight="1" x14ac:dyDescent="0.2">
      <c r="A16" s="12" t="s">
        <v>129</v>
      </c>
      <c r="B16" s="1">
        <f>B17</f>
        <v>1</v>
      </c>
      <c r="C16" s="1">
        <f>C17</f>
        <v>0</v>
      </c>
      <c r="D16" s="1">
        <f>D17</f>
        <v>0</v>
      </c>
      <c r="E16" s="1">
        <f>E17</f>
        <v>1</v>
      </c>
      <c r="F16" s="1">
        <v>200</v>
      </c>
      <c r="G16" s="1">
        <v>0</v>
      </c>
      <c r="H16" s="1">
        <v>4</v>
      </c>
      <c r="I16" s="1">
        <v>40</v>
      </c>
      <c r="J16" s="1">
        <v>10</v>
      </c>
      <c r="K16" s="1">
        <v>0</v>
      </c>
      <c r="L16" s="1">
        <v>0</v>
      </c>
      <c r="M16" s="1">
        <v>10</v>
      </c>
    </row>
    <row r="17" spans="1:13" ht="15" customHeight="1" x14ac:dyDescent="0.2">
      <c r="A17" s="7" t="s">
        <v>443</v>
      </c>
      <c r="B17" s="6">
        <v>1</v>
      </c>
      <c r="C17" s="6"/>
      <c r="D17" s="6"/>
      <c r="E17" s="6">
        <v>1</v>
      </c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8" t="s">
        <v>13</v>
      </c>
      <c r="B18" s="14"/>
      <c r="C18" s="14">
        <f>+C16/B16</f>
        <v>0</v>
      </c>
      <c r="D18" s="14">
        <f>+D16/B16</f>
        <v>0</v>
      </c>
      <c r="E18" s="14">
        <f>+E16/B16</f>
        <v>1</v>
      </c>
      <c r="F18" s="14"/>
      <c r="G18" s="14">
        <f>+(G16/F16)*0.3</f>
        <v>0</v>
      </c>
      <c r="H18" s="14">
        <f>+(H16/F16)*0.3</f>
        <v>6.0000000000000001E-3</v>
      </c>
      <c r="I18" s="14">
        <f>+(I16/F16)*0.3</f>
        <v>0.06</v>
      </c>
      <c r="J18" s="14"/>
      <c r="K18" s="14">
        <f>+(K16/J16)*0.5</f>
        <v>0</v>
      </c>
      <c r="L18" s="14">
        <f>+(L16/J16)*0.5</f>
        <v>0</v>
      </c>
      <c r="M18" s="14">
        <f>+(M16/J16)*0.5</f>
        <v>0.5</v>
      </c>
    </row>
    <row r="19" spans="1:13" ht="15" customHeight="1" x14ac:dyDescent="0.2">
      <c r="A19" s="12" t="s">
        <v>130</v>
      </c>
      <c r="B19" s="1">
        <f>SUM(B20:B20)</f>
        <v>4</v>
      </c>
      <c r="C19" s="1">
        <f>SUM(C20:C20)</f>
        <v>1</v>
      </c>
      <c r="D19" s="1">
        <f>SUM(D20:D20)</f>
        <v>2</v>
      </c>
      <c r="E19" s="1">
        <f>SUM(E20:E20)</f>
        <v>4</v>
      </c>
      <c r="F19" s="1">
        <v>785</v>
      </c>
      <c r="G19" s="1">
        <v>155</v>
      </c>
      <c r="H19" s="1">
        <v>155</v>
      </c>
      <c r="I19" s="1">
        <v>495</v>
      </c>
      <c r="J19" s="1">
        <v>370</v>
      </c>
      <c r="K19" s="1">
        <v>35</v>
      </c>
      <c r="L19" s="1">
        <v>35</v>
      </c>
      <c r="M19" s="1">
        <v>220</v>
      </c>
    </row>
    <row r="20" spans="1:13" ht="15" customHeight="1" x14ac:dyDescent="0.2">
      <c r="A20" s="7" t="s">
        <v>27</v>
      </c>
      <c r="B20" s="6">
        <v>4</v>
      </c>
      <c r="C20" s="6">
        <v>1</v>
      </c>
      <c r="D20" s="6">
        <v>2</v>
      </c>
      <c r="E20" s="6">
        <v>4</v>
      </c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8" t="s">
        <v>13</v>
      </c>
      <c r="B21" s="14"/>
      <c r="C21" s="14">
        <f>+C19/B19</f>
        <v>0.25</v>
      </c>
      <c r="D21" s="14">
        <f>+D19/B19</f>
        <v>0.5</v>
      </c>
      <c r="E21" s="14">
        <f>+E19/B19</f>
        <v>1</v>
      </c>
      <c r="F21" s="14"/>
      <c r="G21" s="14">
        <f>+(G19/F19)*0.3</f>
        <v>5.9235668789808918E-2</v>
      </c>
      <c r="H21" s="14">
        <f>+(H19/F19)*0.3</f>
        <v>5.9235668789808918E-2</v>
      </c>
      <c r="I21" s="14">
        <f>+(I19/F19)*0.3</f>
        <v>0.18917197452229298</v>
      </c>
      <c r="J21" s="14"/>
      <c r="K21" s="14">
        <f>+(K19/J19)*0.5</f>
        <v>4.72972972972973E-2</v>
      </c>
      <c r="L21" s="14">
        <f>+(L19/J19)*0.5</f>
        <v>4.72972972972973E-2</v>
      </c>
      <c r="M21" s="14">
        <f>+(M19/J19)*0.5</f>
        <v>0.29729729729729731</v>
      </c>
    </row>
    <row r="22" spans="1:13" ht="15" customHeight="1" x14ac:dyDescent="0.2">
      <c r="A22" s="12" t="s">
        <v>117</v>
      </c>
      <c r="B22" s="1">
        <f>SUM(B23:B23)</f>
        <v>2</v>
      </c>
      <c r="C22" s="1">
        <f>SUM(C23:C23)</f>
        <v>1</v>
      </c>
      <c r="D22" s="1">
        <f>SUM(D23:D23)</f>
        <v>1</v>
      </c>
      <c r="E22" s="1">
        <f>SUM(E23:E23)</f>
        <v>2</v>
      </c>
      <c r="F22" s="1">
        <v>7640</v>
      </c>
      <c r="G22" s="1">
        <v>2610</v>
      </c>
      <c r="H22" s="1">
        <v>2820</v>
      </c>
      <c r="I22" s="1">
        <v>5650</v>
      </c>
      <c r="J22" s="1">
        <v>680</v>
      </c>
      <c r="K22" s="1">
        <v>260</v>
      </c>
      <c r="L22" s="1">
        <v>295</v>
      </c>
      <c r="M22" s="1">
        <v>535</v>
      </c>
    </row>
    <row r="23" spans="1:13" ht="15" customHeight="1" x14ac:dyDescent="0.2">
      <c r="A23" s="7" t="s">
        <v>117</v>
      </c>
      <c r="B23" s="6">
        <v>2</v>
      </c>
      <c r="C23" s="6">
        <v>1</v>
      </c>
      <c r="D23" s="6">
        <v>1</v>
      </c>
      <c r="E23" s="6">
        <v>2</v>
      </c>
      <c r="F23" s="6"/>
      <c r="G23" s="6"/>
      <c r="H23" s="6"/>
      <c r="I23" s="6"/>
      <c r="J23" s="6"/>
      <c r="K23" s="6"/>
      <c r="L23" s="6"/>
      <c r="M23" s="6"/>
    </row>
    <row r="24" spans="1:13" ht="15" customHeight="1" x14ac:dyDescent="0.2">
      <c r="A24" s="8" t="s">
        <v>13</v>
      </c>
      <c r="B24" s="14"/>
      <c r="C24" s="14">
        <f>+C22/B22</f>
        <v>0.5</v>
      </c>
      <c r="D24" s="14">
        <f>+D22/B22</f>
        <v>0.5</v>
      </c>
      <c r="E24" s="14">
        <f>+E22/B22</f>
        <v>1</v>
      </c>
      <c r="F24" s="14"/>
      <c r="G24" s="14">
        <f>+(G22/F22)*0.4</f>
        <v>0.13664921465968588</v>
      </c>
      <c r="H24" s="14">
        <f>+(H22/F22)*0.4</f>
        <v>0.14764397905759161</v>
      </c>
      <c r="I24" s="14">
        <f>+(I22/F22)*0.4</f>
        <v>0.29581151832460734</v>
      </c>
      <c r="J24" s="14"/>
      <c r="K24" s="14">
        <f>+(K22/J22)*0.4</f>
        <v>0.15294117647058825</v>
      </c>
      <c r="L24" s="14">
        <f>+(L22/J22)*0.4</f>
        <v>0.1735294117647059</v>
      </c>
      <c r="M24" s="14">
        <f>+(M22/J22)*0.4</f>
        <v>0.31470588235294117</v>
      </c>
    </row>
    <row r="25" spans="1:13" s="27" customFormat="1" ht="15" customHeight="1" x14ac:dyDescent="0.2">
      <c r="A25" s="26" t="s">
        <v>153</v>
      </c>
      <c r="F25" s="27">
        <v>2065</v>
      </c>
      <c r="G25" s="27">
        <v>350</v>
      </c>
      <c r="H25" s="27">
        <v>460</v>
      </c>
      <c r="I25" s="27">
        <v>1080</v>
      </c>
      <c r="J25" s="27">
        <v>480</v>
      </c>
      <c r="K25" s="27">
        <v>55</v>
      </c>
      <c r="L25" s="27">
        <v>85</v>
      </c>
      <c r="M25" s="27">
        <v>275</v>
      </c>
    </row>
    <row r="26" spans="1:13" ht="15" customHeight="1" x14ac:dyDescent="0.2">
      <c r="A26" s="8" t="s">
        <v>13</v>
      </c>
      <c r="B26" s="14"/>
      <c r="C26" s="14"/>
      <c r="D26" s="14"/>
      <c r="E26" s="14"/>
      <c r="F26" s="14"/>
      <c r="G26" s="14">
        <f>+(G25/F25)*0.3</f>
        <v>5.084745762711864E-2</v>
      </c>
      <c r="H26" s="14">
        <f>+(H25/F25)*0.3</f>
        <v>6.6828087167070213E-2</v>
      </c>
      <c r="I26" s="14">
        <f>+(I25/F25)*0.3</f>
        <v>0.1569007263922518</v>
      </c>
      <c r="J26" s="14"/>
      <c r="K26" s="14">
        <f>+(K25/J25)*0.5</f>
        <v>5.7291666666666664E-2</v>
      </c>
      <c r="L26" s="14">
        <f>+(L25/J25)*0.5</f>
        <v>8.8541666666666671E-2</v>
      </c>
      <c r="M26" s="14">
        <f>+(M25/J25)*0.5</f>
        <v>0.28645833333333331</v>
      </c>
    </row>
    <row r="27" spans="1:13" ht="15" customHeight="1" x14ac:dyDescent="0.2">
      <c r="A27" s="18" t="s">
        <v>120</v>
      </c>
      <c r="B27" s="6">
        <f>SUM(B28:B50)</f>
        <v>38</v>
      </c>
      <c r="C27" s="6">
        <f>SUM(C28:C50)</f>
        <v>7</v>
      </c>
      <c r="D27" s="6">
        <f>SUM(D28:D50)</f>
        <v>8</v>
      </c>
      <c r="E27" s="6">
        <f>SUM(E28:E50)</f>
        <v>30</v>
      </c>
      <c r="F27" s="6">
        <v>12400</v>
      </c>
      <c r="G27" s="6">
        <v>3550</v>
      </c>
      <c r="H27" s="6">
        <v>3729</v>
      </c>
      <c r="I27" s="6">
        <v>7675</v>
      </c>
      <c r="J27" s="6">
        <v>1155</v>
      </c>
      <c r="K27" s="6">
        <v>425</v>
      </c>
      <c r="L27" s="6">
        <v>453</v>
      </c>
      <c r="M27" s="6">
        <v>710</v>
      </c>
    </row>
    <row r="28" spans="1:13" ht="15" customHeight="1" x14ac:dyDescent="0.2">
      <c r="A28" s="7" t="s">
        <v>341</v>
      </c>
      <c r="B28" s="6">
        <v>12</v>
      </c>
      <c r="C28" s="6">
        <v>1</v>
      </c>
      <c r="D28" s="6">
        <v>2</v>
      </c>
      <c r="E28" s="6">
        <v>10</v>
      </c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7" t="s">
        <v>444</v>
      </c>
      <c r="B29" s="6">
        <v>1</v>
      </c>
      <c r="C29" s="6"/>
      <c r="D29" s="6"/>
      <c r="E29" s="6">
        <v>1</v>
      </c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7" t="s">
        <v>445</v>
      </c>
      <c r="B30" s="6">
        <v>2</v>
      </c>
      <c r="C30" s="6">
        <v>1</v>
      </c>
      <c r="D30" s="6">
        <v>1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5" customHeight="1" x14ac:dyDescent="0.2">
      <c r="A31" s="7" t="s">
        <v>447</v>
      </c>
      <c r="B31" s="6">
        <v>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7" t="s">
        <v>525</v>
      </c>
      <c r="B32" s="6">
        <v>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7" t="s">
        <v>448</v>
      </c>
      <c r="B33" s="6">
        <v>1</v>
      </c>
      <c r="C33" s="6"/>
      <c r="D33" s="6"/>
      <c r="E33" s="6">
        <v>1</v>
      </c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7" t="s">
        <v>342</v>
      </c>
      <c r="B34" s="6">
        <v>4</v>
      </c>
      <c r="C34" s="6">
        <v>1</v>
      </c>
      <c r="D34" s="6">
        <v>1</v>
      </c>
      <c r="E34" s="6">
        <v>3</v>
      </c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277</v>
      </c>
      <c r="B35" s="6">
        <v>1</v>
      </c>
      <c r="C35" s="6"/>
      <c r="D35" s="6"/>
      <c r="E35" s="6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7" t="s">
        <v>455</v>
      </c>
      <c r="B36" s="6">
        <v>1</v>
      </c>
      <c r="C36" s="6">
        <v>1</v>
      </c>
      <c r="D36" s="6">
        <v>1</v>
      </c>
      <c r="E36" s="6">
        <v>1</v>
      </c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7" t="s">
        <v>378</v>
      </c>
      <c r="B37" s="6">
        <v>1</v>
      </c>
      <c r="C37" s="6">
        <v>1</v>
      </c>
      <c r="D37" s="6">
        <v>1</v>
      </c>
      <c r="E37" s="6">
        <v>1</v>
      </c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457</v>
      </c>
      <c r="B38" s="6">
        <v>1</v>
      </c>
      <c r="C38" s="6"/>
      <c r="D38" s="6"/>
      <c r="E38" s="6">
        <v>1</v>
      </c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458</v>
      </c>
      <c r="B39" s="6">
        <v>1</v>
      </c>
      <c r="C39" s="6"/>
      <c r="D39" s="6"/>
      <c r="E39" s="6">
        <v>1</v>
      </c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528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459</v>
      </c>
      <c r="B41" s="6">
        <v>1</v>
      </c>
      <c r="C41" s="6"/>
      <c r="D41" s="6"/>
      <c r="E41" s="6">
        <v>1</v>
      </c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7" t="s">
        <v>460</v>
      </c>
      <c r="B42" s="6">
        <v>1</v>
      </c>
      <c r="C42" s="6"/>
      <c r="D42" s="6"/>
      <c r="E42" s="6">
        <v>1</v>
      </c>
      <c r="F42" s="6"/>
      <c r="G42" s="6"/>
      <c r="H42" s="6"/>
      <c r="I42" s="6"/>
      <c r="J42" s="6"/>
      <c r="K42" s="6"/>
      <c r="L42" s="6"/>
      <c r="M42" s="6"/>
    </row>
    <row r="43" spans="1:13" ht="15" customHeight="1" x14ac:dyDescent="0.2">
      <c r="A43" s="7" t="s">
        <v>376</v>
      </c>
      <c r="B43" s="6">
        <v>1</v>
      </c>
      <c r="C43" s="6"/>
      <c r="D43" s="6"/>
      <c r="E43" s="6">
        <v>1</v>
      </c>
      <c r="F43" s="6"/>
      <c r="G43" s="6"/>
      <c r="H43" s="6"/>
      <c r="I43" s="6"/>
      <c r="J43" s="6"/>
      <c r="K43" s="6"/>
      <c r="L43" s="6"/>
      <c r="M43" s="6"/>
    </row>
    <row r="44" spans="1:13" ht="15" customHeight="1" x14ac:dyDescent="0.2">
      <c r="A44" s="7" t="s">
        <v>311</v>
      </c>
      <c r="B44" s="6">
        <v>1</v>
      </c>
      <c r="C44" s="6">
        <v>1</v>
      </c>
      <c r="D44" s="6">
        <v>1</v>
      </c>
      <c r="E44" s="6">
        <v>1</v>
      </c>
      <c r="F44" s="6"/>
      <c r="G44" s="6"/>
      <c r="H44" s="6"/>
      <c r="I44" s="6"/>
      <c r="J44" s="6"/>
      <c r="K44" s="6"/>
      <c r="L44" s="6"/>
      <c r="M44" s="6"/>
    </row>
    <row r="45" spans="1:13" ht="15" customHeight="1" x14ac:dyDescent="0.2">
      <c r="A45" s="7" t="s">
        <v>527</v>
      </c>
      <c r="B45" s="6">
        <v>1</v>
      </c>
      <c r="C45" s="6"/>
      <c r="D45" s="6"/>
      <c r="E45" s="6">
        <v>1</v>
      </c>
      <c r="F45" s="6"/>
      <c r="G45" s="6"/>
      <c r="H45" s="6"/>
      <c r="I45" s="6"/>
      <c r="J45" s="6"/>
      <c r="K45" s="6"/>
      <c r="L45" s="6"/>
      <c r="M45" s="6"/>
    </row>
    <row r="46" spans="1:13" ht="15" customHeight="1" x14ac:dyDescent="0.2">
      <c r="A46" s="7" t="s">
        <v>278</v>
      </c>
      <c r="B46" s="6">
        <v>1</v>
      </c>
      <c r="C46" s="6"/>
      <c r="D46" s="6"/>
      <c r="E46" s="6">
        <v>1</v>
      </c>
      <c r="F46" s="6"/>
      <c r="G46" s="6"/>
      <c r="H46" s="6"/>
      <c r="I46" s="6"/>
      <c r="J46" s="6"/>
      <c r="K46" s="6"/>
      <c r="L46" s="6"/>
      <c r="M46" s="6"/>
    </row>
    <row r="47" spans="1:13" ht="15" customHeight="1" x14ac:dyDescent="0.2">
      <c r="A47" s="7" t="s">
        <v>526</v>
      </c>
      <c r="B47" s="6">
        <v>1</v>
      </c>
      <c r="C47" s="6"/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</row>
    <row r="48" spans="1:13" ht="15" customHeight="1" x14ac:dyDescent="0.2">
      <c r="A48" s="7" t="s">
        <v>379</v>
      </c>
      <c r="B48" s="1">
        <v>1</v>
      </c>
      <c r="C48" s="1">
        <v>1</v>
      </c>
      <c r="D48" s="1">
        <v>1</v>
      </c>
      <c r="E48" s="1">
        <v>1</v>
      </c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24" t="s">
        <v>462</v>
      </c>
      <c r="B49" s="6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7" t="s">
        <v>461</v>
      </c>
      <c r="B50" s="6">
        <v>1</v>
      </c>
      <c r="C50" s="6"/>
      <c r="D50" s="6"/>
      <c r="E50" s="6">
        <v>1</v>
      </c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8" t="s">
        <v>13</v>
      </c>
      <c r="B51" s="10"/>
      <c r="C51" s="10">
        <f>+C27/B27</f>
        <v>0.18421052631578946</v>
      </c>
      <c r="D51" s="10">
        <f>+D27/B27</f>
        <v>0.21052631578947367</v>
      </c>
      <c r="E51" s="10">
        <f>+E27/B27</f>
        <v>0.78947368421052633</v>
      </c>
      <c r="F51" s="10"/>
      <c r="G51" s="10">
        <f>+(G27/F27)*0.3</f>
        <v>8.5887096774193553E-2</v>
      </c>
      <c r="H51" s="10">
        <f>+(H27/F27)*0.3</f>
        <v>9.0217741935483861E-2</v>
      </c>
      <c r="I51" s="10">
        <f>+(I27/F27)*0.3</f>
        <v>0.18568548387096773</v>
      </c>
      <c r="J51" s="10"/>
      <c r="K51" s="10">
        <f>+(K27/J27)*0.5</f>
        <v>0.18398268398268397</v>
      </c>
      <c r="L51" s="10">
        <f>+(L27/J27)*0.5</f>
        <v>0.19610389610389611</v>
      </c>
      <c r="M51" s="10">
        <f>+(M27/J27)*0.5</f>
        <v>0.30735930735930733</v>
      </c>
    </row>
    <row r="52" spans="1:13" ht="15" customHeight="1" x14ac:dyDescent="0.2">
      <c r="A52" s="12" t="s">
        <v>270</v>
      </c>
      <c r="B52" s="1">
        <f>SUM(B53:B55)</f>
        <v>5</v>
      </c>
      <c r="C52" s="1">
        <f>SUM(C53:C55)</f>
        <v>2</v>
      </c>
      <c r="D52" s="1">
        <f>SUM(D53:D55)</f>
        <v>2</v>
      </c>
      <c r="E52" s="1">
        <f>SUM(E53:E55)</f>
        <v>5</v>
      </c>
      <c r="F52" s="1">
        <v>7540</v>
      </c>
      <c r="G52" s="1">
        <v>2080</v>
      </c>
      <c r="H52" s="1">
        <v>2295</v>
      </c>
      <c r="I52" s="1">
        <v>5500</v>
      </c>
      <c r="J52" s="1">
        <v>990</v>
      </c>
      <c r="K52" s="1">
        <v>335</v>
      </c>
      <c r="L52" s="1">
        <v>345</v>
      </c>
      <c r="M52" s="1">
        <v>800</v>
      </c>
    </row>
    <row r="53" spans="1:13" ht="15" customHeight="1" x14ac:dyDescent="0.2">
      <c r="A53" s="7" t="s">
        <v>529</v>
      </c>
      <c r="B53" s="6">
        <v>2</v>
      </c>
      <c r="C53" s="6">
        <v>1</v>
      </c>
      <c r="D53" s="6">
        <v>1</v>
      </c>
      <c r="E53" s="6">
        <v>2</v>
      </c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449</v>
      </c>
      <c r="B54" s="6">
        <v>2</v>
      </c>
      <c r="C54" s="6">
        <v>1</v>
      </c>
      <c r="D54" s="6">
        <v>1</v>
      </c>
      <c r="E54" s="6">
        <v>2</v>
      </c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450</v>
      </c>
      <c r="B55" s="6">
        <v>1</v>
      </c>
      <c r="C55" s="6"/>
      <c r="D55" s="6"/>
      <c r="E55" s="6">
        <v>1</v>
      </c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8" t="s">
        <v>13</v>
      </c>
      <c r="B56" s="14"/>
      <c r="C56" s="14">
        <f>+C52/B52</f>
        <v>0.4</v>
      </c>
      <c r="D56" s="14">
        <f>+D52/B52</f>
        <v>0.4</v>
      </c>
      <c r="E56" s="14">
        <f>+E52/B52</f>
        <v>1</v>
      </c>
      <c r="F56" s="14"/>
      <c r="G56" s="14">
        <f>+(G52/F52)*0.4</f>
        <v>0.1103448275862069</v>
      </c>
      <c r="H56" s="14">
        <f>+(H52/F52)*0.4</f>
        <v>0.12175066312997347</v>
      </c>
      <c r="I56" s="14">
        <f>+(I52/F52)*0.4</f>
        <v>0.29177718832891247</v>
      </c>
      <c r="J56" s="14"/>
      <c r="K56" s="14">
        <f>+(K52/J52)*0.4</f>
        <v>0.13535353535353536</v>
      </c>
      <c r="L56" s="14">
        <f>+(L52/J52)*0.4</f>
        <v>0.1393939393939394</v>
      </c>
      <c r="M56" s="14">
        <f>+(M52/J52)*0.4</f>
        <v>0.32323232323232326</v>
      </c>
    </row>
    <row r="57" spans="1:13" ht="15" customHeight="1" x14ac:dyDescent="0.2">
      <c r="A57" s="18" t="s">
        <v>123</v>
      </c>
      <c r="B57" s="6">
        <f>SUM(B58:B68)</f>
        <v>20</v>
      </c>
      <c r="C57" s="6">
        <f>SUM(C58:C68)</f>
        <v>9</v>
      </c>
      <c r="D57" s="6">
        <f>SUM(D58:D68)</f>
        <v>11</v>
      </c>
      <c r="E57" s="6">
        <f>SUM(E58:E68)</f>
        <v>18</v>
      </c>
      <c r="F57" s="6">
        <v>2360</v>
      </c>
      <c r="G57" s="6">
        <v>610</v>
      </c>
      <c r="H57" s="6">
        <v>705</v>
      </c>
      <c r="I57" s="6">
        <v>1260</v>
      </c>
      <c r="J57" s="6">
        <v>420</v>
      </c>
      <c r="K57" s="6">
        <v>125</v>
      </c>
      <c r="L57" s="6">
        <v>135</v>
      </c>
      <c r="M57" s="6">
        <v>110</v>
      </c>
    </row>
    <row r="58" spans="1:13" ht="15" customHeight="1" x14ac:dyDescent="0.2">
      <c r="A58" s="24" t="s">
        <v>453</v>
      </c>
      <c r="B58" s="6">
        <v>1</v>
      </c>
      <c r="C58" s="6"/>
      <c r="D58" s="6"/>
      <c r="E58" s="6">
        <v>1</v>
      </c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24" t="s">
        <v>454</v>
      </c>
      <c r="B59" s="6">
        <v>1</v>
      </c>
      <c r="C59" s="6"/>
      <c r="D59" s="6">
        <v>1</v>
      </c>
      <c r="E59" s="6">
        <v>1</v>
      </c>
      <c r="F59" s="6"/>
      <c r="G59" s="6"/>
      <c r="H59" s="6"/>
      <c r="I59" s="6"/>
      <c r="J59" s="6"/>
      <c r="K59" s="6"/>
      <c r="L59" s="6"/>
      <c r="M59" s="6"/>
    </row>
    <row r="60" spans="1:13" ht="15" customHeight="1" x14ac:dyDescent="0.2">
      <c r="A60" s="7" t="s">
        <v>530</v>
      </c>
      <c r="B60" s="6">
        <v>8</v>
      </c>
      <c r="C60" s="6">
        <v>5</v>
      </c>
      <c r="D60" s="6">
        <v>5</v>
      </c>
      <c r="E60" s="6">
        <v>8</v>
      </c>
      <c r="F60" s="6"/>
      <c r="G60" s="6"/>
      <c r="H60" s="6"/>
      <c r="I60" s="6"/>
      <c r="J60" s="6"/>
      <c r="K60" s="6"/>
      <c r="L60" s="6"/>
      <c r="M60" s="6"/>
    </row>
    <row r="61" spans="1:13" ht="15" customHeight="1" x14ac:dyDescent="0.2">
      <c r="A61" s="7" t="s">
        <v>531</v>
      </c>
      <c r="B61" s="6">
        <v>3</v>
      </c>
      <c r="C61" s="6">
        <v>2</v>
      </c>
      <c r="D61" s="6">
        <v>2</v>
      </c>
      <c r="E61" s="6">
        <v>2</v>
      </c>
      <c r="F61" s="6"/>
      <c r="G61" s="6"/>
      <c r="H61" s="6"/>
      <c r="I61" s="6"/>
      <c r="J61" s="6"/>
      <c r="K61" s="6"/>
      <c r="L61" s="6"/>
      <c r="M61" s="6"/>
    </row>
    <row r="62" spans="1:13" ht="15" customHeight="1" x14ac:dyDescent="0.2">
      <c r="A62" s="7" t="s">
        <v>456</v>
      </c>
      <c r="B62" s="6">
        <v>1</v>
      </c>
      <c r="C62" s="6"/>
      <c r="D62" s="6"/>
      <c r="E62" s="6">
        <v>1</v>
      </c>
      <c r="F62" s="6"/>
      <c r="G62" s="6"/>
      <c r="H62" s="6"/>
      <c r="I62" s="6"/>
      <c r="J62" s="6"/>
      <c r="K62" s="6"/>
      <c r="L62" s="6"/>
      <c r="M62" s="6"/>
    </row>
    <row r="63" spans="1:13" ht="15" customHeight="1" x14ac:dyDescent="0.2">
      <c r="A63" s="7" t="s">
        <v>532</v>
      </c>
      <c r="B63" s="6">
        <v>1</v>
      </c>
      <c r="C63" s="6">
        <v>1</v>
      </c>
      <c r="D63" s="6">
        <v>1</v>
      </c>
      <c r="E63" s="6">
        <v>1</v>
      </c>
      <c r="F63" s="6"/>
      <c r="G63" s="6"/>
      <c r="H63" s="6"/>
      <c r="I63" s="6"/>
      <c r="J63" s="6"/>
      <c r="K63" s="6"/>
      <c r="L63" s="6"/>
      <c r="M63" s="6"/>
    </row>
    <row r="64" spans="1:13" ht="15" customHeight="1" x14ac:dyDescent="0.2">
      <c r="A64" s="7" t="s">
        <v>377</v>
      </c>
      <c r="B64" s="6">
        <v>1</v>
      </c>
      <c r="C64" s="6"/>
      <c r="D64" s="6">
        <v>1</v>
      </c>
      <c r="E64" s="6">
        <v>1</v>
      </c>
      <c r="F64" s="6"/>
      <c r="G64" s="6"/>
      <c r="H64" s="6"/>
      <c r="I64" s="6"/>
      <c r="J64" s="6"/>
      <c r="K64" s="6"/>
      <c r="L64" s="6"/>
      <c r="M64" s="6"/>
    </row>
    <row r="65" spans="1:13" ht="15" customHeight="1" x14ac:dyDescent="0.2">
      <c r="A65" s="7" t="s">
        <v>131</v>
      </c>
      <c r="B65" s="6">
        <v>1</v>
      </c>
      <c r="C65" s="6"/>
      <c r="D65" s="6"/>
      <c r="E65" s="6">
        <v>1</v>
      </c>
      <c r="F65" s="6"/>
      <c r="G65" s="6"/>
      <c r="H65" s="6"/>
      <c r="I65" s="6"/>
      <c r="J65" s="6"/>
      <c r="K65" s="6"/>
      <c r="L65" s="6"/>
      <c r="M65" s="6"/>
    </row>
    <row r="66" spans="1:13" ht="15" customHeight="1" x14ac:dyDescent="0.2">
      <c r="A66" s="7" t="s">
        <v>374</v>
      </c>
      <c r="B66" s="6">
        <v>1</v>
      </c>
      <c r="C66" s="6">
        <v>1</v>
      </c>
      <c r="D66" s="6">
        <v>1</v>
      </c>
      <c r="E66" s="6">
        <v>1</v>
      </c>
      <c r="F66" s="6"/>
      <c r="G66" s="6"/>
      <c r="H66" s="6"/>
      <c r="I66" s="6"/>
      <c r="J66" s="6"/>
      <c r="K66" s="6"/>
      <c r="L66" s="6"/>
      <c r="M66" s="6"/>
    </row>
    <row r="67" spans="1:13" ht="15" customHeight="1" x14ac:dyDescent="0.2">
      <c r="A67" s="7" t="s">
        <v>314</v>
      </c>
      <c r="B67" s="6">
        <v>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5" customHeight="1" x14ac:dyDescent="0.2">
      <c r="A68" s="7" t="s">
        <v>463</v>
      </c>
      <c r="B68" s="6">
        <v>1</v>
      </c>
      <c r="C68" s="6"/>
      <c r="D68" s="6"/>
      <c r="E68" s="6">
        <v>1</v>
      </c>
      <c r="F68" s="6"/>
      <c r="G68" s="6"/>
      <c r="H68" s="6"/>
      <c r="I68" s="6"/>
      <c r="J68" s="6"/>
      <c r="K68" s="6"/>
      <c r="L68" s="6"/>
      <c r="M68" s="6"/>
    </row>
    <row r="69" spans="1:13" ht="15" customHeight="1" x14ac:dyDescent="0.2">
      <c r="A69" s="8" t="s">
        <v>13</v>
      </c>
      <c r="B69" s="10"/>
      <c r="C69" s="10">
        <f>+C57/B57</f>
        <v>0.45</v>
      </c>
      <c r="D69" s="10">
        <f>+D57/B57</f>
        <v>0.55000000000000004</v>
      </c>
      <c r="E69" s="10">
        <f>+E57/B57</f>
        <v>0.9</v>
      </c>
      <c r="F69" s="10"/>
      <c r="G69" s="10">
        <f>+(G57/F57)*0.3</f>
        <v>7.7542372881355917E-2</v>
      </c>
      <c r="H69" s="10">
        <f>+(H57/F57)*0.3</f>
        <v>8.9618644067796599E-2</v>
      </c>
      <c r="I69" s="10">
        <f>+(I57/F57)*0.3</f>
        <v>0.16016949152542373</v>
      </c>
      <c r="J69" s="10"/>
      <c r="K69" s="10">
        <f>+(K57/J57)*0.5</f>
        <v>0.14880952380952381</v>
      </c>
      <c r="L69" s="10">
        <f>+(L57/J57)*0.5</f>
        <v>0.16071428571428573</v>
      </c>
      <c r="M69" s="10">
        <f>+(M57/J57)*0.5</f>
        <v>0.13095238095238096</v>
      </c>
    </row>
    <row r="70" spans="1:13" ht="15" customHeight="1" x14ac:dyDescent="0.2">
      <c r="A70" s="12" t="s">
        <v>340</v>
      </c>
      <c r="B70" s="1">
        <f>SUM(B71:B72)</f>
        <v>8</v>
      </c>
      <c r="C70" s="1">
        <f>SUM(C71:C72)</f>
        <v>0</v>
      </c>
      <c r="D70" s="1">
        <f>SUM(D71:D72)</f>
        <v>0</v>
      </c>
      <c r="E70" s="1">
        <f>SUM(E71:E72)</f>
        <v>8</v>
      </c>
      <c r="F70" s="1">
        <v>10005</v>
      </c>
      <c r="G70" s="1">
        <v>3115</v>
      </c>
      <c r="H70" s="1">
        <v>3249</v>
      </c>
      <c r="I70" s="1">
        <v>9860</v>
      </c>
      <c r="J70" s="1">
        <v>790</v>
      </c>
      <c r="K70" s="1">
        <v>205</v>
      </c>
      <c r="L70" s="1">
        <v>265</v>
      </c>
      <c r="M70" s="1">
        <v>790</v>
      </c>
    </row>
    <row r="71" spans="1:13" ht="15" customHeight="1" x14ac:dyDescent="0.2">
      <c r="A71" s="7" t="s">
        <v>375</v>
      </c>
      <c r="B71" s="1">
        <v>2</v>
      </c>
      <c r="E71" s="1">
        <v>2</v>
      </c>
    </row>
    <row r="72" spans="1:13" ht="15" customHeight="1" x14ac:dyDescent="0.2">
      <c r="A72" s="7" t="s">
        <v>446</v>
      </c>
      <c r="B72" s="6">
        <v>6</v>
      </c>
      <c r="C72" s="6"/>
      <c r="D72" s="6"/>
      <c r="E72" s="6">
        <v>6</v>
      </c>
      <c r="F72" s="6"/>
      <c r="G72" s="6"/>
      <c r="H72" s="6"/>
      <c r="I72" s="6"/>
      <c r="J72" s="6"/>
      <c r="K72" s="6"/>
      <c r="L72" s="6"/>
      <c r="M72" s="6"/>
    </row>
    <row r="73" spans="1:13" ht="15" customHeight="1" x14ac:dyDescent="0.2">
      <c r="A73" s="8" t="s">
        <v>13</v>
      </c>
      <c r="B73" s="14"/>
      <c r="C73" s="14">
        <f>+C70/B70</f>
        <v>0</v>
      </c>
      <c r="D73" s="14">
        <f>+D70/B70</f>
        <v>0</v>
      </c>
      <c r="E73" s="14">
        <f>+E70/B70</f>
        <v>1</v>
      </c>
      <c r="F73" s="14"/>
      <c r="G73" s="14">
        <f>+(G70/F70)*0.4</f>
        <v>0.12453773113443278</v>
      </c>
      <c r="H73" s="14">
        <f>+(H70/F70)*0.4</f>
        <v>0.12989505247376312</v>
      </c>
      <c r="I73" s="14">
        <f>+(I70/F70)*0.4</f>
        <v>0.39420289855072466</v>
      </c>
      <c r="J73" s="14"/>
      <c r="K73" s="14">
        <f>+(K70/J70)*0.4</f>
        <v>0.10379746835443038</v>
      </c>
      <c r="L73" s="14">
        <f>+(L70/J70)*0.4</f>
        <v>0.13417721518987344</v>
      </c>
      <c r="M73" s="14">
        <f>+(M70/J70)*0.4</f>
        <v>0.4</v>
      </c>
    </row>
    <row r="74" spans="1:13" ht="15" customHeight="1" x14ac:dyDescent="0.2">
      <c r="A74" s="12" t="s">
        <v>290</v>
      </c>
      <c r="B74" s="1">
        <f>SUM(B75:B81)</f>
        <v>7</v>
      </c>
      <c r="C74" s="1">
        <f>SUM(C75:C81)</f>
        <v>1</v>
      </c>
      <c r="D74" s="1">
        <f>SUM(D75:D81)</f>
        <v>1</v>
      </c>
      <c r="E74" s="1">
        <f>SUM(E75:E81)</f>
        <v>5</v>
      </c>
      <c r="F74" s="1">
        <v>1275</v>
      </c>
      <c r="G74" s="1">
        <v>95</v>
      </c>
      <c r="H74" s="1">
        <v>150</v>
      </c>
      <c r="I74" s="1">
        <v>795</v>
      </c>
      <c r="J74" s="1">
        <v>130</v>
      </c>
      <c r="K74" s="1">
        <v>10</v>
      </c>
      <c r="L74" s="1">
        <v>10</v>
      </c>
      <c r="M74" s="1">
        <v>75</v>
      </c>
    </row>
    <row r="75" spans="1:13" ht="15" customHeight="1" x14ac:dyDescent="0.2">
      <c r="A75" s="7" t="s">
        <v>343</v>
      </c>
      <c r="B75" s="6">
        <v>1</v>
      </c>
      <c r="C75" s="6">
        <v>1</v>
      </c>
      <c r="D75" s="6">
        <v>1</v>
      </c>
      <c r="E75" s="6">
        <v>1</v>
      </c>
      <c r="F75" s="6"/>
      <c r="G75" s="6"/>
      <c r="H75" s="6"/>
      <c r="I75" s="6"/>
      <c r="J75" s="6"/>
      <c r="K75" s="6"/>
      <c r="L75" s="6"/>
      <c r="M75" s="6"/>
    </row>
    <row r="76" spans="1:13" ht="15" customHeight="1" x14ac:dyDescent="0.2">
      <c r="A76" s="7" t="s">
        <v>533</v>
      </c>
      <c r="B76" s="6">
        <v>1</v>
      </c>
      <c r="C76" s="6"/>
      <c r="D76" s="6"/>
      <c r="E76" s="6">
        <v>1</v>
      </c>
      <c r="F76" s="6"/>
      <c r="G76" s="6"/>
      <c r="H76" s="6"/>
      <c r="I76" s="6"/>
      <c r="J76" s="6"/>
      <c r="K76" s="6"/>
      <c r="L76" s="6"/>
      <c r="M76" s="6"/>
    </row>
    <row r="77" spans="1:13" ht="15" customHeight="1" x14ac:dyDescent="0.2">
      <c r="A77" s="7" t="s">
        <v>233</v>
      </c>
      <c r="B77" s="6">
        <v>1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5" customHeight="1" x14ac:dyDescent="0.2">
      <c r="A78" s="7" t="s">
        <v>534</v>
      </c>
      <c r="B78" s="6">
        <v>1</v>
      </c>
      <c r="C78" s="6"/>
      <c r="D78" s="6"/>
      <c r="E78" s="6">
        <v>1</v>
      </c>
      <c r="F78" s="6"/>
      <c r="G78" s="6"/>
      <c r="H78" s="6"/>
      <c r="I78" s="6"/>
      <c r="J78" s="6"/>
      <c r="K78" s="6"/>
      <c r="L78" s="6"/>
      <c r="M78" s="6"/>
    </row>
    <row r="79" spans="1:13" ht="15" customHeight="1" x14ac:dyDescent="0.2">
      <c r="A79" s="7" t="s">
        <v>248</v>
      </c>
      <c r="B79" s="6">
        <v>1</v>
      </c>
      <c r="C79" s="6"/>
      <c r="D79" s="6"/>
      <c r="E79" s="6">
        <v>1</v>
      </c>
      <c r="F79" s="6"/>
      <c r="G79" s="6"/>
      <c r="H79" s="6"/>
      <c r="I79" s="6"/>
      <c r="J79" s="6"/>
      <c r="K79" s="6"/>
      <c r="L79" s="6"/>
      <c r="M79" s="6"/>
    </row>
    <row r="80" spans="1:13" ht="15" customHeight="1" x14ac:dyDescent="0.2">
      <c r="A80" s="7" t="s">
        <v>32</v>
      </c>
      <c r="B80" s="6">
        <v>1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15" customHeight="1" x14ac:dyDescent="0.2">
      <c r="A81" s="7" t="s">
        <v>291</v>
      </c>
      <c r="B81" s="6">
        <v>1</v>
      </c>
      <c r="C81" s="6"/>
      <c r="D81" s="6"/>
      <c r="E81" s="6">
        <v>1</v>
      </c>
      <c r="F81" s="6"/>
      <c r="G81" s="6"/>
      <c r="H81" s="6"/>
      <c r="I81" s="6"/>
      <c r="J81" s="6"/>
      <c r="K81" s="6"/>
      <c r="L81" s="6"/>
      <c r="M81" s="6"/>
    </row>
    <row r="82" spans="1:13" ht="15" customHeight="1" x14ac:dyDescent="0.2">
      <c r="A82" s="8" t="s">
        <v>13</v>
      </c>
      <c r="B82" s="14"/>
      <c r="C82" s="14">
        <f>+C74/B74</f>
        <v>0.14285714285714285</v>
      </c>
      <c r="D82" s="14">
        <f>+D74/B74</f>
        <v>0.14285714285714285</v>
      </c>
      <c r="E82" s="14">
        <f>+E74/B74</f>
        <v>0.7142857142857143</v>
      </c>
      <c r="F82" s="14"/>
      <c r="G82" s="14">
        <f>+(G74/F74)*0.3</f>
        <v>2.2352941176470586E-2</v>
      </c>
      <c r="H82" s="14">
        <f>+(H74/F74)*0.3</f>
        <v>3.5294117647058823E-2</v>
      </c>
      <c r="I82" s="14">
        <f>+(I74/F74)*0.3</f>
        <v>0.18705882352941175</v>
      </c>
      <c r="J82" s="14"/>
      <c r="K82" s="14">
        <f>+(K74/J74)*0.5</f>
        <v>3.8461538461538464E-2</v>
      </c>
      <c r="L82" s="14">
        <f>+(L74/J74)*0.5</f>
        <v>3.8461538461538464E-2</v>
      </c>
      <c r="M82" s="14">
        <f>+(M74/J74)*0.5</f>
        <v>0.28846153846153844</v>
      </c>
    </row>
    <row r="83" spans="1:13" ht="15" customHeight="1" x14ac:dyDescent="0.2">
      <c r="A83" s="12" t="s">
        <v>132</v>
      </c>
      <c r="B83" s="1">
        <f>SUM(B84:B87)</f>
        <v>6</v>
      </c>
      <c r="C83" s="1">
        <f>SUM(C84:C87)</f>
        <v>1</v>
      </c>
      <c r="D83" s="1">
        <f>SUM(D84:D87)</f>
        <v>1</v>
      </c>
      <c r="E83" s="1">
        <f>SUM(E84:E87)</f>
        <v>6</v>
      </c>
      <c r="F83" s="1">
        <v>3445</v>
      </c>
      <c r="G83" s="1">
        <v>480</v>
      </c>
      <c r="H83" s="1">
        <v>570</v>
      </c>
      <c r="I83" s="1">
        <v>1915</v>
      </c>
      <c r="J83" s="1">
        <v>875</v>
      </c>
      <c r="K83" s="1">
        <v>200</v>
      </c>
      <c r="L83" s="1">
        <v>239</v>
      </c>
      <c r="M83" s="1">
        <v>580</v>
      </c>
    </row>
    <row r="84" spans="1:13" ht="15" customHeight="1" x14ac:dyDescent="0.2">
      <c r="A84" s="7" t="s">
        <v>193</v>
      </c>
      <c r="B84" s="1">
        <v>1</v>
      </c>
      <c r="E84" s="1">
        <v>1</v>
      </c>
    </row>
    <row r="85" spans="1:13" ht="15" customHeight="1" x14ac:dyDescent="0.2">
      <c r="A85" s="7" t="s">
        <v>247</v>
      </c>
      <c r="B85" s="1">
        <v>1</v>
      </c>
      <c r="E85" s="1">
        <v>1</v>
      </c>
    </row>
    <row r="86" spans="1:13" ht="15" customHeight="1" x14ac:dyDescent="0.2">
      <c r="A86" s="7" t="s">
        <v>249</v>
      </c>
      <c r="B86" s="1">
        <v>3</v>
      </c>
      <c r="C86" s="1">
        <v>1</v>
      </c>
      <c r="D86" s="1">
        <v>1</v>
      </c>
      <c r="E86" s="1">
        <v>3</v>
      </c>
    </row>
    <row r="87" spans="1:13" ht="15" customHeight="1" x14ac:dyDescent="0.2">
      <c r="A87" s="7" t="s">
        <v>245</v>
      </c>
      <c r="B87" s="6">
        <v>1</v>
      </c>
      <c r="C87" s="6"/>
      <c r="D87" s="6"/>
      <c r="E87" s="6">
        <v>1</v>
      </c>
      <c r="F87" s="6"/>
      <c r="G87" s="6"/>
      <c r="H87" s="6"/>
      <c r="I87" s="6"/>
      <c r="J87" s="6"/>
      <c r="K87" s="6"/>
      <c r="L87" s="6"/>
      <c r="M87" s="6"/>
    </row>
    <row r="88" spans="1:13" ht="15" customHeight="1" x14ac:dyDescent="0.2">
      <c r="A88" s="8" t="s">
        <v>13</v>
      </c>
      <c r="B88" s="14"/>
      <c r="C88" s="14">
        <f>+C83/B83</f>
        <v>0.16666666666666666</v>
      </c>
      <c r="D88" s="14">
        <f>+D83/B83</f>
        <v>0.16666666666666666</v>
      </c>
      <c r="E88" s="14">
        <f>+E83/B83</f>
        <v>1</v>
      </c>
      <c r="F88" s="14"/>
      <c r="G88" s="14">
        <f>+(G83/F83)*0.3</f>
        <v>4.1799709724238021E-2</v>
      </c>
      <c r="H88" s="14">
        <f>+(H83/F83)*0.3</f>
        <v>4.963715529753266E-2</v>
      </c>
      <c r="I88" s="14">
        <f>+(I83/F83)*0.3</f>
        <v>0.16676342525399129</v>
      </c>
      <c r="J88" s="14"/>
      <c r="K88" s="14">
        <f>+(K83/J83)*0.5</f>
        <v>0.11428571428571428</v>
      </c>
      <c r="L88" s="14">
        <f>+(L83/J83)*0.5</f>
        <v>0.13657142857142857</v>
      </c>
      <c r="M88" s="14">
        <f>+(M83/J83)*0.5</f>
        <v>0.33142857142857141</v>
      </c>
    </row>
    <row r="89" spans="1:13" ht="15" customHeight="1" x14ac:dyDescent="0.2">
      <c r="A89" s="12" t="s">
        <v>133</v>
      </c>
      <c r="B89" s="1">
        <f>SUM(B90:B90)</f>
        <v>6</v>
      </c>
      <c r="C89" s="1">
        <f>SUM(C90:C90)</f>
        <v>2</v>
      </c>
      <c r="D89" s="1">
        <f>SUM(D90:D90)</f>
        <v>2</v>
      </c>
      <c r="E89" s="1">
        <f>SUM(E90:E90)</f>
        <v>4</v>
      </c>
      <c r="F89" s="1">
        <v>1020</v>
      </c>
      <c r="G89" s="1">
        <v>645</v>
      </c>
      <c r="H89" s="1">
        <v>670</v>
      </c>
      <c r="I89" s="1">
        <v>580</v>
      </c>
      <c r="J89" s="1">
        <v>145</v>
      </c>
      <c r="K89" s="1">
        <v>125</v>
      </c>
      <c r="L89" s="1">
        <v>125</v>
      </c>
      <c r="M89" s="1">
        <v>80</v>
      </c>
    </row>
    <row r="90" spans="1:13" ht="15" customHeight="1" x14ac:dyDescent="0.2">
      <c r="A90" s="7" t="s">
        <v>30</v>
      </c>
      <c r="B90" s="6">
        <v>6</v>
      </c>
      <c r="C90" s="6">
        <v>2</v>
      </c>
      <c r="D90" s="6">
        <v>2</v>
      </c>
      <c r="E90" s="6">
        <v>4</v>
      </c>
      <c r="F90" s="6"/>
      <c r="G90" s="6"/>
      <c r="H90" s="6"/>
      <c r="I90" s="6"/>
      <c r="J90" s="6"/>
      <c r="K90" s="6"/>
      <c r="L90" s="6"/>
      <c r="M90" s="6"/>
    </row>
    <row r="91" spans="1:13" ht="15" customHeight="1" x14ac:dyDescent="0.2">
      <c r="A91" s="8" t="s">
        <v>13</v>
      </c>
      <c r="B91" s="14"/>
      <c r="C91" s="14">
        <f>+C89/B89</f>
        <v>0.33333333333333331</v>
      </c>
      <c r="D91" s="14">
        <f>+D89/B89</f>
        <v>0.33333333333333331</v>
      </c>
      <c r="E91" s="14">
        <f>+E89/B89</f>
        <v>0.66666666666666663</v>
      </c>
      <c r="F91" s="14"/>
      <c r="G91" s="14">
        <f>+(G89/F89)*0.3</f>
        <v>0.18970588235294117</v>
      </c>
      <c r="H91" s="14">
        <f>+(H89/F89)*0.3</f>
        <v>0.19705882352941176</v>
      </c>
      <c r="I91" s="14">
        <f>+(I89/F89)*0.3</f>
        <v>0.17058823529411762</v>
      </c>
      <c r="J91" s="14"/>
      <c r="K91" s="14">
        <f>+(K89/J89)*0.5</f>
        <v>0.43103448275862066</v>
      </c>
      <c r="L91" s="14">
        <f>+(L89/J89)*0.5</f>
        <v>0.43103448275862066</v>
      </c>
      <c r="M91" s="14">
        <f>+(M89/J89)*0.5</f>
        <v>0.27586206896551724</v>
      </c>
    </row>
    <row r="92" spans="1:13" ht="15" customHeight="1" x14ac:dyDescent="0.2">
      <c r="A92" s="12" t="s">
        <v>112</v>
      </c>
      <c r="B92" s="1">
        <f>SUM(B93:B95)</f>
        <v>12</v>
      </c>
      <c r="C92" s="1">
        <f t="shared" ref="C92:E92" si="0">SUM(C93:C95)</f>
        <v>3</v>
      </c>
      <c r="D92" s="1">
        <f t="shared" si="0"/>
        <v>3</v>
      </c>
      <c r="E92" s="1">
        <f t="shared" si="0"/>
        <v>12</v>
      </c>
      <c r="F92" s="1">
        <v>60495</v>
      </c>
      <c r="G92" s="1">
        <v>9139</v>
      </c>
      <c r="H92" s="1">
        <v>10779</v>
      </c>
      <c r="I92" s="1">
        <v>58865</v>
      </c>
      <c r="J92" s="1">
        <v>5210</v>
      </c>
      <c r="K92" s="1">
        <v>899</v>
      </c>
      <c r="L92" s="1">
        <v>1189</v>
      </c>
      <c r="M92" s="1">
        <v>5050</v>
      </c>
    </row>
    <row r="93" spans="1:13" ht="15" customHeight="1" x14ac:dyDescent="0.2">
      <c r="A93" s="7" t="s">
        <v>535</v>
      </c>
      <c r="B93" s="1">
        <v>1</v>
      </c>
      <c r="E93" s="1">
        <v>1</v>
      </c>
    </row>
    <row r="94" spans="1:13" ht="15" customHeight="1" x14ac:dyDescent="0.2">
      <c r="A94" s="7" t="s">
        <v>134</v>
      </c>
      <c r="B94" s="1">
        <v>10</v>
      </c>
      <c r="C94" s="1">
        <v>3</v>
      </c>
      <c r="D94" s="1">
        <v>3</v>
      </c>
      <c r="E94" s="1">
        <v>10</v>
      </c>
    </row>
    <row r="95" spans="1:13" ht="15" customHeight="1" x14ac:dyDescent="0.2">
      <c r="A95" s="7" t="s">
        <v>536</v>
      </c>
      <c r="B95" s="1">
        <v>1</v>
      </c>
      <c r="E95" s="1">
        <v>1</v>
      </c>
    </row>
    <row r="96" spans="1:13" ht="15" customHeight="1" x14ac:dyDescent="0.2">
      <c r="A96" s="8" t="s">
        <v>13</v>
      </c>
      <c r="B96" s="10"/>
      <c r="C96" s="10">
        <f>+C92/B92</f>
        <v>0.25</v>
      </c>
      <c r="D96" s="10">
        <f>+D92/B92</f>
        <v>0.25</v>
      </c>
      <c r="E96" s="10">
        <f>+E92/B92</f>
        <v>1</v>
      </c>
      <c r="F96" s="10"/>
      <c r="G96" s="10">
        <f>+(G92/F92)*0.3</f>
        <v>4.532110091743119E-2</v>
      </c>
      <c r="H96" s="10">
        <f>+(H92/F92)*0.3</f>
        <v>5.3454004463178779E-2</v>
      </c>
      <c r="I96" s="10">
        <f>+(I92/F92)*0.3</f>
        <v>0.29191668732953135</v>
      </c>
      <c r="J96" s="10"/>
      <c r="K96" s="10">
        <f>+(K92/J92)*0.5</f>
        <v>8.62763915547025E-2</v>
      </c>
      <c r="L96" s="10">
        <f>+(L92/J92)*0.5</f>
        <v>0.11410748560460653</v>
      </c>
      <c r="M96" s="10">
        <f>+(M92/J92)*0.5</f>
        <v>0.48464491362763917</v>
      </c>
    </row>
    <row r="97" spans="1:13" ht="15" customHeight="1" x14ac:dyDescent="0.2">
      <c r="A97" s="12" t="s">
        <v>537</v>
      </c>
      <c r="B97" s="1">
        <f>SUM(B98:B98)</f>
        <v>1</v>
      </c>
      <c r="C97" s="1">
        <f>SUM(C98:C98)</f>
        <v>0</v>
      </c>
      <c r="D97" s="1">
        <f>SUM(D98:D98)</f>
        <v>0</v>
      </c>
      <c r="E97" s="1">
        <f>SUM(E98:E98)</f>
        <v>1</v>
      </c>
      <c r="F97" s="1">
        <v>1415</v>
      </c>
      <c r="G97" s="1">
        <v>165</v>
      </c>
      <c r="H97" s="1">
        <v>215</v>
      </c>
      <c r="I97" s="1">
        <v>1330</v>
      </c>
      <c r="J97" s="1">
        <v>105</v>
      </c>
      <c r="K97" s="1">
        <v>30</v>
      </c>
      <c r="L97" s="1">
        <v>40</v>
      </c>
      <c r="M97" s="1">
        <v>95</v>
      </c>
    </row>
    <row r="98" spans="1:13" ht="15" customHeight="1" x14ac:dyDescent="0.2">
      <c r="A98" s="7" t="s">
        <v>538</v>
      </c>
      <c r="B98" s="6">
        <v>1</v>
      </c>
      <c r="C98" s="6"/>
      <c r="D98" s="6"/>
      <c r="E98" s="6">
        <v>1</v>
      </c>
      <c r="F98" s="6"/>
      <c r="G98" s="6"/>
      <c r="H98" s="6"/>
      <c r="I98" s="6"/>
      <c r="J98" s="6"/>
      <c r="K98" s="6"/>
      <c r="L98" s="6"/>
      <c r="M98" s="6"/>
    </row>
    <row r="99" spans="1:13" ht="15" customHeight="1" x14ac:dyDescent="0.2">
      <c r="A99" s="8" t="s">
        <v>13</v>
      </c>
      <c r="B99" s="14"/>
      <c r="C99" s="14">
        <f>+C97/B97</f>
        <v>0</v>
      </c>
      <c r="D99" s="14">
        <f>+D97/B97</f>
        <v>0</v>
      </c>
      <c r="E99" s="14">
        <f>+E97/B97</f>
        <v>1</v>
      </c>
      <c r="F99" s="14"/>
      <c r="G99" s="14">
        <f>+(G97/F97)*0.3</f>
        <v>3.4982332155477032E-2</v>
      </c>
      <c r="H99" s="14">
        <f>+(H97/F97)*0.3</f>
        <v>4.558303886925795E-2</v>
      </c>
      <c r="I99" s="14">
        <f>+(I97/F97)*0.3</f>
        <v>0.28197879858657243</v>
      </c>
      <c r="J99" s="14"/>
      <c r="K99" s="14">
        <f>+(K97/J97)*0.5</f>
        <v>0.14285714285714285</v>
      </c>
      <c r="L99" s="14">
        <f>+(L97/J97)*0.5</f>
        <v>0.19047619047619047</v>
      </c>
      <c r="M99" s="14">
        <f>+(M97/J97)*0.5</f>
        <v>0.45238095238095238</v>
      </c>
    </row>
    <row r="100" spans="1:13" ht="15" customHeight="1" x14ac:dyDescent="0.2">
      <c r="A100" s="2" t="s">
        <v>12</v>
      </c>
      <c r="B100" s="6">
        <f>+B92+B89+B83+B74+B57+B52+B27+B25+B19+B16+B12+B7+B70+B22+B97</f>
        <v>120</v>
      </c>
      <c r="C100" s="6">
        <f t="shared" ref="C100:M100" si="1">+C92+C89+C83+C74+C57+C52+C27+C25+C19+C16+C12+C7+C70+C22+C97</f>
        <v>28</v>
      </c>
      <c r="D100" s="6">
        <f t="shared" si="1"/>
        <v>37</v>
      </c>
      <c r="E100" s="6">
        <f t="shared" si="1"/>
        <v>103</v>
      </c>
      <c r="F100" s="6">
        <f t="shared" si="1"/>
        <v>138525</v>
      </c>
      <c r="G100" s="6">
        <f t="shared" si="1"/>
        <v>27229</v>
      </c>
      <c r="H100" s="6">
        <f t="shared" si="1"/>
        <v>30878</v>
      </c>
      <c r="I100" s="6">
        <f t="shared" si="1"/>
        <v>112465</v>
      </c>
      <c r="J100" s="6">
        <f t="shared" si="1"/>
        <v>14850</v>
      </c>
      <c r="K100" s="6">
        <f t="shared" si="1"/>
        <v>3254</v>
      </c>
      <c r="L100" s="6">
        <f t="shared" si="1"/>
        <v>3891</v>
      </c>
      <c r="M100" s="6">
        <f t="shared" si="1"/>
        <v>11560</v>
      </c>
    </row>
    <row r="101" spans="1:13" ht="15" customHeight="1" x14ac:dyDescent="0.2">
      <c r="A101" s="8" t="s">
        <v>13</v>
      </c>
      <c r="B101" s="14"/>
      <c r="C101" s="14">
        <f>+C100/B100</f>
        <v>0.23333333333333334</v>
      </c>
      <c r="D101" s="14">
        <f>+D100/B100</f>
        <v>0.30833333333333335</v>
      </c>
      <c r="E101" s="14">
        <f>+E100/B100</f>
        <v>0.85833333333333328</v>
      </c>
      <c r="F101" s="14"/>
      <c r="G101" s="14">
        <f>+(G100/F100)*0.3</f>
        <v>5.8969139144558744E-2</v>
      </c>
      <c r="H101" s="14">
        <f>+(H100/F100)*0.3</f>
        <v>6.6871683811586355E-2</v>
      </c>
      <c r="I101" s="14">
        <f>+(I100/F100)*0.3</f>
        <v>0.24356253383865728</v>
      </c>
      <c r="J101" s="14"/>
      <c r="K101" s="14">
        <f>+(K100/J100)*0.5</f>
        <v>0.10956228956228956</v>
      </c>
      <c r="L101" s="14">
        <f>+(L100/J100)*0.5</f>
        <v>0.13101010101010102</v>
      </c>
      <c r="M101" s="14">
        <f>+(M100/J100)*0.5</f>
        <v>0.38922558922558925</v>
      </c>
    </row>
    <row r="103" spans="1:13" ht="15" customHeight="1" x14ac:dyDescent="0.2">
      <c r="A103" s="2" t="s">
        <v>14</v>
      </c>
      <c r="B103" s="2" t="s">
        <v>3</v>
      </c>
      <c r="C103" s="2" t="s">
        <v>55</v>
      </c>
      <c r="D103" s="2" t="s">
        <v>4</v>
      </c>
    </row>
    <row r="105" spans="1:13" ht="15" customHeight="1" x14ac:dyDescent="0.2">
      <c r="A105" s="1" t="s">
        <v>22</v>
      </c>
      <c r="B105" s="16">
        <f>+G101</f>
        <v>5.8969139144558744E-2</v>
      </c>
      <c r="C105" s="16">
        <f>+H101</f>
        <v>6.6871683811586355E-2</v>
      </c>
      <c r="D105" s="16">
        <f>+I101</f>
        <v>0.24356253383865728</v>
      </c>
    </row>
    <row r="106" spans="1:13" ht="15" customHeight="1" x14ac:dyDescent="0.2">
      <c r="A106" s="1" t="s">
        <v>35</v>
      </c>
      <c r="B106" s="16">
        <f>+K101</f>
        <v>0.10956228956228956</v>
      </c>
      <c r="C106" s="16">
        <f>+L101</f>
        <v>0.13101010101010102</v>
      </c>
      <c r="D106" s="16">
        <f>+M101</f>
        <v>0.38922558922558925</v>
      </c>
    </row>
    <row r="107" spans="1:13" ht="15" customHeight="1" x14ac:dyDescent="0.2">
      <c r="A107" s="1" t="s">
        <v>21</v>
      </c>
      <c r="B107" s="16">
        <v>4.1700000000000001E-2</v>
      </c>
      <c r="C107" s="16">
        <v>5.33E-2</v>
      </c>
      <c r="D107" s="16">
        <v>0.15959999999999999</v>
      </c>
    </row>
    <row r="108" spans="1:13" ht="15" customHeight="1" x14ac:dyDescent="0.2">
      <c r="A108" s="17" t="s">
        <v>12</v>
      </c>
      <c r="B108" s="14">
        <f>SUM(B105:B107)</f>
        <v>0.2102314287068483</v>
      </c>
      <c r="C108" s="14">
        <f>SUM(C105:C107)</f>
        <v>0.2511817848216874</v>
      </c>
      <c r="D108" s="14">
        <f>SUM(D105:D107)</f>
        <v>0.79238812306424644</v>
      </c>
    </row>
  </sheetData>
  <sortState ref="A89:M91">
    <sortCondition ref="A89:A9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3"/>
  <pageSetup scale="97" fitToHeight="0" orientation="landscape" r:id="rId1"/>
  <headerFooter alignWithMargins="0">
    <oddHeader>&amp;C&amp;"Times New Roman,Bold"AVAILABILITY ANALYSIS - 08/31/2018
&amp;REXHIBIT 5</oddHeader>
    <oddFooter>&amp;RUpdated: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66" zoomScaleNormal="100" workbookViewId="0">
      <selection activeCell="E79" sqref="E79"/>
    </sheetView>
  </sheetViews>
  <sheetFormatPr defaultColWidth="9.33203125" defaultRowHeight="15" customHeight="1" x14ac:dyDescent="0.2"/>
  <cols>
    <col min="1" max="1" width="41.6640625" style="1" customWidth="1"/>
    <col min="2" max="2" width="9.5" style="1" bestFit="1" customWidth="1"/>
    <col min="3" max="5" width="10.1640625" style="1" bestFit="1" customWidth="1"/>
    <col min="6" max="6" width="9" style="1" customWidth="1"/>
    <col min="7" max="7" width="9.5" style="1" bestFit="1" customWidth="1"/>
    <col min="8" max="9" width="8.83203125" style="1" bestFit="1" customWidth="1"/>
    <col min="10" max="10" width="7.6640625" style="1" bestFit="1" customWidth="1"/>
    <col min="11" max="11" width="8.5" style="1" customWidth="1"/>
    <col min="12" max="12" width="8.6640625" style="1" customWidth="1"/>
    <col min="13" max="13" width="9.5" style="1" bestFit="1" customWidth="1"/>
    <col min="14" max="16384" width="9.33203125" style="1"/>
  </cols>
  <sheetData>
    <row r="1" spans="1:13" ht="15" customHeight="1" x14ac:dyDescent="0.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5</v>
      </c>
      <c r="G5" s="46"/>
      <c r="H5" s="46"/>
      <c r="I5" s="46"/>
      <c r="J5" s="46" t="s">
        <v>19</v>
      </c>
      <c r="K5" s="46"/>
      <c r="L5" s="46"/>
      <c r="M5" s="46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55</v>
      </c>
      <c r="E6" s="3" t="s">
        <v>4</v>
      </c>
      <c r="F6" s="3" t="s">
        <v>8</v>
      </c>
      <c r="G6" s="3" t="s">
        <v>3</v>
      </c>
      <c r="H6" s="3" t="s">
        <v>55</v>
      </c>
      <c r="I6" s="3" t="s">
        <v>4</v>
      </c>
      <c r="J6" s="3" t="s">
        <v>8</v>
      </c>
      <c r="K6" s="3" t="s">
        <v>3</v>
      </c>
      <c r="L6" s="3" t="s">
        <v>55</v>
      </c>
      <c r="M6" s="3" t="s">
        <v>4</v>
      </c>
    </row>
    <row r="7" spans="1:13" ht="38.450000000000003" customHeight="1" x14ac:dyDescent="0.2">
      <c r="A7" s="15" t="s">
        <v>298</v>
      </c>
      <c r="B7" s="1">
        <f>SUM(B8:B21)</f>
        <v>22</v>
      </c>
      <c r="C7" s="1">
        <f>SUM(C8:C21)</f>
        <v>1</v>
      </c>
      <c r="D7" s="1">
        <f>SUM(D8:D21)</f>
        <v>2</v>
      </c>
      <c r="E7" s="1">
        <f>SUM(E8:E21)</f>
        <v>6</v>
      </c>
      <c r="F7" s="1">
        <v>9515</v>
      </c>
      <c r="G7" s="1">
        <v>1755</v>
      </c>
      <c r="H7" s="1">
        <v>2429</v>
      </c>
      <c r="I7" s="1">
        <v>3200</v>
      </c>
      <c r="J7" s="1">
        <v>2025</v>
      </c>
      <c r="K7" s="1">
        <v>290</v>
      </c>
      <c r="L7" s="1">
        <v>464</v>
      </c>
      <c r="M7" s="1">
        <v>454</v>
      </c>
    </row>
    <row r="8" spans="1:13" ht="15" customHeight="1" x14ac:dyDescent="0.2">
      <c r="A8" s="7" t="s">
        <v>344</v>
      </c>
      <c r="B8" s="6">
        <v>1</v>
      </c>
      <c r="C8" s="6"/>
      <c r="D8" s="6"/>
      <c r="E8" s="6">
        <v>1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550</v>
      </c>
      <c r="B9" s="6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71</v>
      </c>
      <c r="B10" s="6">
        <v>3</v>
      </c>
      <c r="C10" s="6"/>
      <c r="D10" s="6"/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553</v>
      </c>
      <c r="B11" s="6">
        <v>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7" t="s">
        <v>382</v>
      </c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2">
      <c r="A13" s="24" t="s">
        <v>470</v>
      </c>
      <c r="B13" s="6">
        <v>1</v>
      </c>
      <c r="C13" s="6"/>
      <c r="D13" s="6"/>
      <c r="E13" s="6">
        <v>1</v>
      </c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">
      <c r="A14" s="7" t="s">
        <v>316</v>
      </c>
      <c r="B14" s="6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7" t="s">
        <v>556</v>
      </c>
      <c r="B15" s="6">
        <v>1</v>
      </c>
      <c r="C15" s="6"/>
      <c r="D15" s="6"/>
      <c r="E15" s="6">
        <v>1</v>
      </c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2">
      <c r="A16" s="7" t="s">
        <v>346</v>
      </c>
      <c r="B16" s="6">
        <v>1</v>
      </c>
      <c r="C16" s="6">
        <v>1</v>
      </c>
      <c r="D16" s="6">
        <v>1</v>
      </c>
      <c r="E16" s="6">
        <v>1</v>
      </c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2">
      <c r="A17" s="7" t="s">
        <v>238</v>
      </c>
      <c r="B17" s="6">
        <v>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7" t="s">
        <v>554</v>
      </c>
      <c r="B18" s="6">
        <v>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7" t="s">
        <v>555</v>
      </c>
      <c r="B19" s="6">
        <v>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2">
      <c r="A20" s="7" t="s">
        <v>345</v>
      </c>
      <c r="B20" s="6">
        <v>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">
      <c r="A21" s="24" t="s">
        <v>471</v>
      </c>
      <c r="B21" s="6">
        <v>1</v>
      </c>
      <c r="C21" s="6"/>
      <c r="D21" s="6">
        <v>1</v>
      </c>
      <c r="E21" s="6">
        <v>1</v>
      </c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8" t="s">
        <v>13</v>
      </c>
      <c r="B22" s="14"/>
      <c r="C22" s="14">
        <f>+C7/B7</f>
        <v>4.5454545454545456E-2</v>
      </c>
      <c r="D22" s="14">
        <f>+D7/B7</f>
        <v>9.0909090909090912E-2</v>
      </c>
      <c r="E22" s="14">
        <f>+E7/B7</f>
        <v>0.27272727272727271</v>
      </c>
      <c r="F22" s="14"/>
      <c r="G22" s="14">
        <f>+(G7/F7)*0.4</f>
        <v>7.3778244876510773E-2</v>
      </c>
      <c r="H22" s="14">
        <f>+(H7/F7)*0.4</f>
        <v>0.10211245401996848</v>
      </c>
      <c r="I22" s="14">
        <f>+(I7/F7)*0.4</f>
        <v>0.13452443510246978</v>
      </c>
      <c r="J22" s="14"/>
      <c r="K22" s="14">
        <f>+(K7/J7)*0.4</f>
        <v>5.7283950617283953E-2</v>
      </c>
      <c r="L22" s="14">
        <f>+(L7/J7)*0.4</f>
        <v>9.1654320987654331E-2</v>
      </c>
      <c r="M22" s="14">
        <f>+(M7/J7)*0.4</f>
        <v>8.9679012345679016E-2</v>
      </c>
    </row>
    <row r="23" spans="1:13" ht="15" customHeight="1" x14ac:dyDescent="0.2">
      <c r="A23" s="18" t="s">
        <v>163</v>
      </c>
      <c r="B23" s="6">
        <f>SUM(B24:B24)</f>
        <v>1</v>
      </c>
      <c r="C23" s="6">
        <f>SUM(C24:C24)</f>
        <v>0</v>
      </c>
      <c r="D23" s="6">
        <f>SUM(D24:D24)</f>
        <v>0</v>
      </c>
      <c r="E23" s="6">
        <f>SUM(E24:E24)</f>
        <v>0</v>
      </c>
      <c r="F23" s="6">
        <v>890</v>
      </c>
      <c r="G23" s="6">
        <v>215</v>
      </c>
      <c r="H23" s="6">
        <v>240</v>
      </c>
      <c r="I23" s="6">
        <v>195</v>
      </c>
      <c r="J23" s="6">
        <v>130</v>
      </c>
      <c r="K23" s="1">
        <v>25</v>
      </c>
      <c r="L23" s="1">
        <v>25</v>
      </c>
      <c r="M23" s="1">
        <v>30</v>
      </c>
    </row>
    <row r="24" spans="1:13" ht="15" customHeight="1" x14ac:dyDescent="0.2">
      <c r="A24" s="7" t="s">
        <v>380</v>
      </c>
      <c r="B24" s="6">
        <v>1</v>
      </c>
      <c r="C24" s="6"/>
      <c r="D24" s="6"/>
      <c r="E24" s="6"/>
      <c r="F24" s="6"/>
      <c r="G24" s="6"/>
      <c r="H24" s="6"/>
      <c r="I24" s="6"/>
      <c r="J24" s="6"/>
    </row>
    <row r="25" spans="1:13" ht="15" customHeight="1" x14ac:dyDescent="0.2">
      <c r="A25" s="8" t="s">
        <v>13</v>
      </c>
      <c r="B25" s="10"/>
      <c r="C25" s="10">
        <f>+C23/B23</f>
        <v>0</v>
      </c>
      <c r="D25" s="10">
        <f>+D23/B23</f>
        <v>0</v>
      </c>
      <c r="E25" s="10">
        <f>+E23/B23</f>
        <v>0</v>
      </c>
      <c r="F25" s="10"/>
      <c r="G25" s="10">
        <f>+(G23/F23)*0.4</f>
        <v>9.662921348314607E-2</v>
      </c>
      <c r="H25" s="10">
        <f>+(H23/F23)*0.4</f>
        <v>0.10786516853932585</v>
      </c>
      <c r="I25" s="10">
        <f>+(I23/F23)*0.4</f>
        <v>8.7640449438202261E-2</v>
      </c>
      <c r="J25" s="10"/>
      <c r="K25" s="10">
        <f>+(K23/J23)*0.4</f>
        <v>7.6923076923076927E-2</v>
      </c>
      <c r="L25" s="10">
        <f>+(L23/J23)*0.4</f>
        <v>7.6923076923076927E-2</v>
      </c>
      <c r="M25" s="10">
        <f>+(M23/J23)*0.4</f>
        <v>9.2307692307692313E-2</v>
      </c>
    </row>
    <row r="26" spans="1:13" ht="15" customHeight="1" x14ac:dyDescent="0.2">
      <c r="A26" s="12" t="s">
        <v>116</v>
      </c>
      <c r="B26" s="1">
        <f>SUM(B27:B27)</f>
        <v>1</v>
      </c>
      <c r="C26" s="1">
        <f>SUM(C27:C27)</f>
        <v>0</v>
      </c>
      <c r="D26" s="1">
        <f>SUM(D27:D27)</f>
        <v>0</v>
      </c>
      <c r="E26" s="1">
        <f>SUM(E27:E27)</f>
        <v>1</v>
      </c>
      <c r="F26" s="1">
        <v>755</v>
      </c>
      <c r="G26" s="1">
        <v>160</v>
      </c>
      <c r="H26" s="1">
        <v>220</v>
      </c>
      <c r="I26" s="1">
        <v>245</v>
      </c>
      <c r="J26" s="1">
        <v>130</v>
      </c>
      <c r="K26" s="1">
        <v>60</v>
      </c>
      <c r="L26" s="1">
        <v>60</v>
      </c>
      <c r="M26" s="1">
        <v>65</v>
      </c>
    </row>
    <row r="27" spans="1:13" ht="15" customHeight="1" x14ac:dyDescent="0.2">
      <c r="A27" s="7" t="s">
        <v>168</v>
      </c>
      <c r="B27" s="1">
        <v>1</v>
      </c>
      <c r="E27" s="1">
        <v>1</v>
      </c>
    </row>
    <row r="28" spans="1:13" ht="15" customHeight="1" x14ac:dyDescent="0.2">
      <c r="A28" s="8" t="s">
        <v>13</v>
      </c>
      <c r="B28" s="14"/>
      <c r="C28" s="14">
        <f>+C26/B26</f>
        <v>0</v>
      </c>
      <c r="D28" s="14">
        <f>+D26/B26</f>
        <v>0</v>
      </c>
      <c r="E28" s="14">
        <f>+E26/B26</f>
        <v>1</v>
      </c>
      <c r="F28" s="14"/>
      <c r="G28" s="14">
        <f>+(G26/F26)*0.4</f>
        <v>8.4768211920529801E-2</v>
      </c>
      <c r="H28" s="14">
        <f>+(H26/F26)*0.4</f>
        <v>0.11655629139072848</v>
      </c>
      <c r="I28" s="14">
        <f>+(I26/F26)*0.4</f>
        <v>0.12980132450331125</v>
      </c>
      <c r="J28" s="14"/>
      <c r="K28" s="14">
        <f>+(K26/J26)*0.4</f>
        <v>0.18461538461538463</v>
      </c>
      <c r="L28" s="14">
        <f>+(L26/J26)*0.4</f>
        <v>0.18461538461538463</v>
      </c>
      <c r="M28" s="14">
        <f>+(M26/J26)*0.4</f>
        <v>0.2</v>
      </c>
    </row>
    <row r="29" spans="1:13" ht="15" customHeight="1" x14ac:dyDescent="0.2">
      <c r="A29" s="18" t="s">
        <v>164</v>
      </c>
      <c r="B29" s="6">
        <f>SUM(B30:B34)</f>
        <v>6</v>
      </c>
      <c r="C29" s="6">
        <f>SUM(C30:C34)</f>
        <v>1</v>
      </c>
      <c r="D29" s="6">
        <f>SUM(D30:D34)</f>
        <v>2</v>
      </c>
      <c r="E29" s="6">
        <f>SUM(E30:E34)</f>
        <v>1</v>
      </c>
      <c r="F29" s="6">
        <v>3845</v>
      </c>
      <c r="G29" s="6">
        <v>695</v>
      </c>
      <c r="H29" s="6">
        <v>830</v>
      </c>
      <c r="I29" s="6">
        <v>610</v>
      </c>
      <c r="J29" s="6">
        <v>505</v>
      </c>
      <c r="K29" s="1">
        <v>105</v>
      </c>
      <c r="L29" s="1">
        <v>135</v>
      </c>
      <c r="M29" s="1">
        <v>45</v>
      </c>
    </row>
    <row r="30" spans="1:13" ht="15" customHeight="1" x14ac:dyDescent="0.2">
      <c r="A30" s="7" t="s">
        <v>237</v>
      </c>
      <c r="B30" s="6">
        <v>1</v>
      </c>
      <c r="C30" s="6"/>
      <c r="D30" s="6"/>
      <c r="E30" s="6"/>
      <c r="F30" s="6"/>
      <c r="G30" s="6"/>
      <c r="H30" s="6"/>
      <c r="I30" s="6"/>
      <c r="J30" s="6"/>
    </row>
    <row r="31" spans="1:13" ht="15" customHeight="1" x14ac:dyDescent="0.2">
      <c r="A31" s="7" t="s">
        <v>381</v>
      </c>
      <c r="B31" s="6">
        <v>2</v>
      </c>
      <c r="C31" s="6">
        <v>1</v>
      </c>
      <c r="D31" s="6">
        <v>1</v>
      </c>
      <c r="E31" s="6">
        <v>1</v>
      </c>
      <c r="F31" s="6"/>
      <c r="G31" s="6"/>
      <c r="H31" s="6"/>
      <c r="I31" s="6"/>
      <c r="J31" s="6"/>
    </row>
    <row r="32" spans="1:13" ht="15" customHeight="1" x14ac:dyDescent="0.2">
      <c r="A32" s="7" t="s">
        <v>280</v>
      </c>
      <c r="B32" s="6">
        <v>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7" t="s">
        <v>194</v>
      </c>
      <c r="B33" s="6">
        <v>1</v>
      </c>
      <c r="C33" s="6"/>
      <c r="D33" s="6"/>
      <c r="E33" s="6"/>
      <c r="F33" s="6"/>
      <c r="G33" s="6"/>
      <c r="H33" s="6"/>
      <c r="I33" s="6"/>
      <c r="J33" s="6"/>
    </row>
    <row r="34" spans="1:13" ht="15" customHeight="1" x14ac:dyDescent="0.2">
      <c r="A34" s="7" t="s">
        <v>557</v>
      </c>
      <c r="B34" s="6">
        <v>1</v>
      </c>
      <c r="C34" s="6"/>
      <c r="D34" s="6">
        <v>1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8" t="s">
        <v>13</v>
      </c>
      <c r="B35" s="10"/>
      <c r="C35" s="10">
        <f>+C29/B29</f>
        <v>0.16666666666666666</v>
      </c>
      <c r="D35" s="10">
        <f>+D29/B29</f>
        <v>0.33333333333333331</v>
      </c>
      <c r="E35" s="10">
        <f>+E29/B29</f>
        <v>0.16666666666666666</v>
      </c>
      <c r="F35" s="10"/>
      <c r="G35" s="10">
        <f>+(G29/F29)*0.4</f>
        <v>7.2301690507152155E-2</v>
      </c>
      <c r="H35" s="10">
        <f>+(H29/F29)*0.4</f>
        <v>8.6345903771131341E-2</v>
      </c>
      <c r="I35" s="10">
        <f>+(I29/F29)*0.4</f>
        <v>6.3459037711313393E-2</v>
      </c>
      <c r="J35" s="10"/>
      <c r="K35" s="10">
        <f>+(K29/J29)*0.4</f>
        <v>8.3168316831683173E-2</v>
      </c>
      <c r="L35" s="10">
        <f>+(L29/J29)*0.4</f>
        <v>0.10693069306930694</v>
      </c>
      <c r="M35" s="10">
        <f>+(M29/J29)*0.4</f>
        <v>3.5643564356435641E-2</v>
      </c>
    </row>
    <row r="36" spans="1:13" ht="15" customHeight="1" x14ac:dyDescent="0.2">
      <c r="A36" s="18" t="s">
        <v>295</v>
      </c>
      <c r="B36" s="6">
        <f>SUM(B37:B39)</f>
        <v>3</v>
      </c>
      <c r="C36" s="6">
        <f>SUM(C37:C39)</f>
        <v>0</v>
      </c>
      <c r="D36" s="6">
        <f>SUM(D37:D39)</f>
        <v>0</v>
      </c>
      <c r="E36" s="6">
        <f>SUM(E37:E39)</f>
        <v>1</v>
      </c>
      <c r="F36" s="6">
        <v>37740</v>
      </c>
      <c r="G36" s="6">
        <v>4130</v>
      </c>
      <c r="H36" s="6">
        <v>5530</v>
      </c>
      <c r="I36" s="6">
        <v>11875</v>
      </c>
      <c r="J36" s="6">
        <v>5550</v>
      </c>
      <c r="K36" s="6">
        <v>375</v>
      </c>
      <c r="L36" s="6">
        <v>775</v>
      </c>
      <c r="M36" s="6">
        <v>1580</v>
      </c>
    </row>
    <row r="37" spans="1:13" ht="15" customHeight="1" x14ac:dyDescent="0.2">
      <c r="A37" s="7" t="s">
        <v>279</v>
      </c>
      <c r="B37" s="6">
        <v>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347</v>
      </c>
      <c r="B38" s="6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348</v>
      </c>
      <c r="B39" s="6">
        <v>1</v>
      </c>
      <c r="C39" s="6"/>
      <c r="D39" s="6"/>
      <c r="E39" s="6">
        <v>1</v>
      </c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8" t="s">
        <v>13</v>
      </c>
      <c r="B40" s="10"/>
      <c r="C40" s="10">
        <f>+C36/B36</f>
        <v>0</v>
      </c>
      <c r="D40" s="10">
        <f>+D36/B36</f>
        <v>0</v>
      </c>
      <c r="E40" s="10">
        <f>+E36/B36</f>
        <v>0.33333333333333331</v>
      </c>
      <c r="F40" s="10"/>
      <c r="G40" s="10">
        <f>+(G36/F36)*0.4</f>
        <v>4.3773184949655541E-2</v>
      </c>
      <c r="H40" s="10">
        <f>+(H36/F36)*0.4</f>
        <v>5.8611552729199795E-2</v>
      </c>
      <c r="I40" s="10">
        <f>+(I36/F36)*0.4</f>
        <v>0.12586115527291999</v>
      </c>
      <c r="J40" s="10"/>
      <c r="K40" s="10">
        <f>+(K36/J36)*0.4</f>
        <v>2.7027027027027029E-2</v>
      </c>
      <c r="L40" s="10">
        <f>+(L36/J36)*0.4</f>
        <v>5.5855855855855854E-2</v>
      </c>
      <c r="M40" s="10">
        <f>+(M36/J36)*0.4</f>
        <v>0.11387387387387388</v>
      </c>
    </row>
    <row r="41" spans="1:13" ht="15" customHeight="1" x14ac:dyDescent="0.2">
      <c r="A41" s="18" t="s">
        <v>296</v>
      </c>
      <c r="B41" s="6">
        <f>SUM(B42:B42)</f>
        <v>2</v>
      </c>
      <c r="C41" s="6">
        <f>SUM(C42:C42)</f>
        <v>0</v>
      </c>
      <c r="D41" s="6">
        <f>SUM(D42:D42)</f>
        <v>0</v>
      </c>
      <c r="E41" s="6">
        <f>SUM(E42:E42)</f>
        <v>0</v>
      </c>
      <c r="F41" s="6">
        <v>5880</v>
      </c>
      <c r="G41" s="6">
        <v>715</v>
      </c>
      <c r="H41" s="6">
        <v>1125</v>
      </c>
      <c r="I41" s="6">
        <v>1695</v>
      </c>
      <c r="J41" s="6">
        <v>1375</v>
      </c>
      <c r="K41" s="6">
        <v>155</v>
      </c>
      <c r="L41" s="6">
        <v>365</v>
      </c>
      <c r="M41" s="6">
        <v>550</v>
      </c>
    </row>
    <row r="42" spans="1:13" ht="15" customHeight="1" x14ac:dyDescent="0.2">
      <c r="A42" s="7" t="s">
        <v>72</v>
      </c>
      <c r="B42" s="6">
        <v>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" customHeight="1" x14ac:dyDescent="0.2">
      <c r="A43" s="8" t="s">
        <v>13</v>
      </c>
      <c r="B43" s="10"/>
      <c r="C43" s="10">
        <f>+C41/B41</f>
        <v>0</v>
      </c>
      <c r="D43" s="10">
        <f>+D41/B41</f>
        <v>0</v>
      </c>
      <c r="E43" s="10">
        <f>+E41/B41</f>
        <v>0</v>
      </c>
      <c r="F43" s="10"/>
      <c r="G43" s="10">
        <f>+(G41/F41)*0.4</f>
        <v>4.8639455782312928E-2</v>
      </c>
      <c r="H43" s="10">
        <f>+(H41/F41)*0.4</f>
        <v>7.6530612244897961E-2</v>
      </c>
      <c r="I43" s="10">
        <f>+(I41/F41)*0.4</f>
        <v>0.1153061224489796</v>
      </c>
      <c r="J43" s="10"/>
      <c r="K43" s="10">
        <f>+(K41/J41)*0.4</f>
        <v>4.5090909090909098E-2</v>
      </c>
      <c r="L43" s="10">
        <f>+(L41/J41)*0.4</f>
        <v>0.10618181818181818</v>
      </c>
      <c r="M43" s="10">
        <f>+(M41/J41)*0.4</f>
        <v>0.16000000000000003</v>
      </c>
    </row>
    <row r="44" spans="1:13" ht="15" customHeight="1" x14ac:dyDescent="0.2">
      <c r="A44" s="18" t="s">
        <v>551</v>
      </c>
      <c r="B44" s="6">
        <f>SUM(B45:B45)</f>
        <v>1</v>
      </c>
      <c r="C44" s="6">
        <f>SUM(C45:C45)</f>
        <v>0</v>
      </c>
      <c r="D44" s="6">
        <f>SUM(D45:D45)</f>
        <v>0</v>
      </c>
      <c r="E44" s="6">
        <f>SUM(E45:E45)</f>
        <v>1</v>
      </c>
      <c r="F44" s="6">
        <v>5685</v>
      </c>
      <c r="G44" s="6">
        <v>1140</v>
      </c>
      <c r="H44" s="6">
        <v>1505</v>
      </c>
      <c r="I44" s="6">
        <v>2235</v>
      </c>
      <c r="J44" s="6">
        <v>915</v>
      </c>
      <c r="K44" s="6">
        <v>145</v>
      </c>
      <c r="L44" s="6">
        <v>219</v>
      </c>
      <c r="M44" s="6">
        <v>290</v>
      </c>
    </row>
    <row r="45" spans="1:13" ht="15" customHeight="1" x14ac:dyDescent="0.2">
      <c r="A45" s="7" t="s">
        <v>552</v>
      </c>
      <c r="B45" s="6">
        <v>1</v>
      </c>
      <c r="C45" s="6"/>
      <c r="D45" s="6"/>
      <c r="E45" s="6">
        <v>1</v>
      </c>
      <c r="F45" s="6"/>
      <c r="G45" s="6"/>
      <c r="H45" s="6"/>
      <c r="I45" s="6"/>
      <c r="J45" s="6"/>
      <c r="K45" s="6"/>
      <c r="L45" s="6"/>
      <c r="M45" s="6"/>
    </row>
    <row r="46" spans="1:13" ht="15" customHeight="1" x14ac:dyDescent="0.2">
      <c r="A46" s="8" t="s">
        <v>13</v>
      </c>
      <c r="B46" s="10"/>
      <c r="C46" s="10">
        <f>+C44/B44</f>
        <v>0</v>
      </c>
      <c r="D46" s="10">
        <f>+D44/B44</f>
        <v>0</v>
      </c>
      <c r="E46" s="10">
        <f>+E44/B44</f>
        <v>1</v>
      </c>
      <c r="F46" s="10"/>
      <c r="G46" s="10">
        <f>+(G44/F44)*0.4</f>
        <v>8.0211081794195255E-2</v>
      </c>
      <c r="H46" s="10">
        <f>+(H44/F44)*0.4</f>
        <v>0.10589270008795076</v>
      </c>
      <c r="I46" s="10">
        <f>+(I44/F44)*0.4</f>
        <v>0.15725593667546175</v>
      </c>
      <c r="J46" s="10"/>
      <c r="K46" s="10">
        <f>+(K44/J44)*0.4</f>
        <v>6.3387978142076515E-2</v>
      </c>
      <c r="L46" s="10">
        <f>+(L44/J44)*0.4</f>
        <v>9.5737704918032795E-2</v>
      </c>
      <c r="M46" s="10">
        <f>+(M44/J44)*0.4</f>
        <v>0.12677595628415303</v>
      </c>
    </row>
    <row r="47" spans="1:13" ht="15" customHeight="1" x14ac:dyDescent="0.2">
      <c r="A47" s="18" t="s">
        <v>297</v>
      </c>
      <c r="B47" s="6">
        <f>SUM(B48:B55)</f>
        <v>10</v>
      </c>
      <c r="C47" s="6">
        <f>SUM(C48:C55)</f>
        <v>2</v>
      </c>
      <c r="D47" s="6">
        <f>SUM(D48:D55)</f>
        <v>3</v>
      </c>
      <c r="E47" s="6">
        <f>SUM(E48:E55)</f>
        <v>5</v>
      </c>
      <c r="F47" s="6">
        <v>5210</v>
      </c>
      <c r="G47" s="6">
        <v>600</v>
      </c>
      <c r="H47" s="6">
        <v>935</v>
      </c>
      <c r="I47" s="6">
        <v>1785</v>
      </c>
      <c r="J47" s="6">
        <v>1520</v>
      </c>
      <c r="K47" s="6">
        <v>125</v>
      </c>
      <c r="L47" s="6">
        <v>240</v>
      </c>
      <c r="M47" s="6">
        <v>470</v>
      </c>
    </row>
    <row r="48" spans="1:13" ht="15" customHeight="1" x14ac:dyDescent="0.2">
      <c r="A48" s="7" t="s">
        <v>315</v>
      </c>
      <c r="B48" s="6">
        <v>1</v>
      </c>
      <c r="C48" s="6"/>
      <c r="D48" s="6">
        <v>1</v>
      </c>
      <c r="E48" s="6">
        <v>1</v>
      </c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7" t="s">
        <v>182</v>
      </c>
      <c r="B49" s="6">
        <v>1</v>
      </c>
      <c r="C49" s="6"/>
      <c r="D49" s="6"/>
      <c r="E49" s="6">
        <v>1</v>
      </c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7" t="s">
        <v>183</v>
      </c>
      <c r="B50" s="6">
        <v>1</v>
      </c>
      <c r="C50" s="6"/>
      <c r="D50" s="6"/>
      <c r="E50" s="6">
        <v>1</v>
      </c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7" t="s">
        <v>468</v>
      </c>
      <c r="B51" s="6">
        <v>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467</v>
      </c>
      <c r="B52" s="6">
        <v>1</v>
      </c>
      <c r="C52" s="6">
        <v>1</v>
      </c>
      <c r="D52" s="6">
        <v>1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7" t="s">
        <v>73</v>
      </c>
      <c r="B53" s="6">
        <v>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74</v>
      </c>
      <c r="B54" s="6">
        <v>2</v>
      </c>
      <c r="C54" s="6">
        <v>1</v>
      </c>
      <c r="D54" s="6">
        <v>1</v>
      </c>
      <c r="E54" s="6">
        <v>2</v>
      </c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101</v>
      </c>
      <c r="B55" s="6">
        <v>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8" t="s">
        <v>13</v>
      </c>
      <c r="B56" s="10"/>
      <c r="C56" s="10">
        <f>+C47/B47</f>
        <v>0.2</v>
      </c>
      <c r="D56" s="10">
        <f>+D47/B47</f>
        <v>0.3</v>
      </c>
      <c r="E56" s="10">
        <f>+E47/B47</f>
        <v>0.5</v>
      </c>
      <c r="F56" s="10"/>
      <c r="G56" s="10">
        <f>+(G47/F47)*0.4</f>
        <v>4.6065259117082535E-2</v>
      </c>
      <c r="H56" s="10">
        <f>+(H47/F47)*0.4</f>
        <v>7.1785028790786951E-2</v>
      </c>
      <c r="I56" s="10">
        <f>+(I47/F47)*0.4</f>
        <v>0.13704414587332056</v>
      </c>
      <c r="J56" s="10"/>
      <c r="K56" s="10">
        <f>+(K47/J47)*0.4</f>
        <v>3.2894736842105268E-2</v>
      </c>
      <c r="L56" s="10">
        <f>+(L47/J47)*0.4</f>
        <v>6.3157894736842107E-2</v>
      </c>
      <c r="M56" s="10">
        <f>+(M47/J47)*0.4</f>
        <v>0.1236842105263158</v>
      </c>
    </row>
    <row r="57" spans="1:13" ht="15" customHeight="1" x14ac:dyDescent="0.2">
      <c r="A57" s="18" t="s">
        <v>267</v>
      </c>
      <c r="B57" s="6">
        <f>SUM(B58:B58)</f>
        <v>1</v>
      </c>
      <c r="C57" s="6">
        <f>SUM(C58:C58)</f>
        <v>0</v>
      </c>
      <c r="D57" s="6">
        <f>SUM(D58:D58)</f>
        <v>0</v>
      </c>
      <c r="E57" s="6">
        <f>SUM(E58:E58)</f>
        <v>0</v>
      </c>
      <c r="F57" s="6">
        <v>7865</v>
      </c>
      <c r="G57" s="6">
        <v>1475</v>
      </c>
      <c r="H57" s="6">
        <v>1929</v>
      </c>
      <c r="I57" s="6">
        <v>1700</v>
      </c>
      <c r="J57" s="6">
        <v>1670</v>
      </c>
      <c r="K57" s="6">
        <v>315</v>
      </c>
      <c r="L57" s="6">
        <v>413</v>
      </c>
      <c r="M57" s="6">
        <v>425</v>
      </c>
    </row>
    <row r="58" spans="1:13" ht="15" customHeight="1" x14ac:dyDescent="0.2">
      <c r="A58" s="7" t="s">
        <v>29</v>
      </c>
      <c r="B58" s="6">
        <v>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" customHeight="1" x14ac:dyDescent="0.2">
      <c r="A59" s="8" t="s">
        <v>13</v>
      </c>
      <c r="B59" s="10"/>
      <c r="C59" s="10">
        <f>+C57/B57</f>
        <v>0</v>
      </c>
      <c r="D59" s="10">
        <f>+D57/B57</f>
        <v>0</v>
      </c>
      <c r="E59" s="10">
        <f>+E57/B57</f>
        <v>0</v>
      </c>
      <c r="F59" s="10"/>
      <c r="G59" s="10">
        <f>+(G57/F57)*0.4</f>
        <v>7.5015893197711389E-2</v>
      </c>
      <c r="H59" s="10">
        <f>+(H57/F57)*0.4</f>
        <v>9.8105530832803559E-2</v>
      </c>
      <c r="I59" s="10">
        <f>+(I57/F57)*0.4</f>
        <v>8.6458995549904646E-2</v>
      </c>
      <c r="J59" s="10"/>
      <c r="K59" s="10">
        <f>+(K57/J57)*0.4</f>
        <v>7.5449101796407181E-2</v>
      </c>
      <c r="L59" s="10">
        <f>+(L57/J57)*0.4</f>
        <v>9.8922155688622768E-2</v>
      </c>
      <c r="M59" s="10">
        <f>+(M57/J57)*0.4</f>
        <v>0.10179640718562875</v>
      </c>
    </row>
    <row r="60" spans="1:13" ht="15" customHeight="1" x14ac:dyDescent="0.2">
      <c r="A60" s="18" t="s">
        <v>292</v>
      </c>
      <c r="B60" s="6">
        <f>SUM(B61:B62)</f>
        <v>2</v>
      </c>
      <c r="C60" s="6">
        <f>SUM(C61:C62)</f>
        <v>0</v>
      </c>
      <c r="D60" s="6">
        <f>SUM(D61:D62)</f>
        <v>0</v>
      </c>
      <c r="E60" s="6">
        <f>SUM(E61:E62)</f>
        <v>1</v>
      </c>
      <c r="F60" s="6">
        <v>8685</v>
      </c>
      <c r="G60" s="6">
        <v>870</v>
      </c>
      <c r="H60" s="6">
        <v>1670</v>
      </c>
      <c r="I60" s="6">
        <v>2345</v>
      </c>
      <c r="J60" s="6">
        <v>4575</v>
      </c>
      <c r="K60" s="1">
        <v>450</v>
      </c>
      <c r="L60" s="1">
        <v>820</v>
      </c>
      <c r="M60" s="1">
        <v>1260</v>
      </c>
    </row>
    <row r="61" spans="1:13" ht="15" customHeight="1" x14ac:dyDescent="0.2">
      <c r="A61" s="7" t="s">
        <v>293</v>
      </c>
      <c r="B61" s="6">
        <v>1</v>
      </c>
      <c r="C61" s="6"/>
      <c r="D61" s="6"/>
      <c r="E61" s="6"/>
      <c r="F61" s="6"/>
      <c r="G61" s="6"/>
      <c r="H61" s="6"/>
      <c r="I61" s="6"/>
      <c r="J61" s="6"/>
    </row>
    <row r="62" spans="1:13" ht="15" customHeight="1" x14ac:dyDescent="0.2">
      <c r="A62" s="7" t="s">
        <v>208</v>
      </c>
      <c r="B62" s="6">
        <v>1</v>
      </c>
      <c r="C62" s="6"/>
      <c r="D62" s="6"/>
      <c r="E62" s="6">
        <v>1</v>
      </c>
      <c r="F62" s="6"/>
      <c r="G62" s="6"/>
      <c r="H62" s="6"/>
      <c r="I62" s="6"/>
      <c r="J62" s="6"/>
      <c r="K62" s="6"/>
      <c r="L62" s="6"/>
      <c r="M62" s="6"/>
    </row>
    <row r="63" spans="1:13" ht="15" customHeight="1" x14ac:dyDescent="0.2">
      <c r="A63" s="8" t="s">
        <v>13</v>
      </c>
      <c r="B63" s="10"/>
      <c r="C63" s="10">
        <f>+C60/B60</f>
        <v>0</v>
      </c>
      <c r="D63" s="10">
        <f>+D60/B60</f>
        <v>0</v>
      </c>
      <c r="E63" s="10">
        <f>+E60/B60</f>
        <v>0.5</v>
      </c>
      <c r="F63" s="10"/>
      <c r="G63" s="10">
        <f>+(G60/F60)*0.4</f>
        <v>4.0069084628670121E-2</v>
      </c>
      <c r="H63" s="10">
        <f>+(H60/F60)*0.4</f>
        <v>7.6914219919401269E-2</v>
      </c>
      <c r="I63" s="10">
        <f>+(I60/F60)*0.4</f>
        <v>0.10800230282095567</v>
      </c>
      <c r="J63" s="10"/>
      <c r="K63" s="10">
        <f>+(K60/J60)*0.4</f>
        <v>3.9344262295081971E-2</v>
      </c>
      <c r="L63" s="10">
        <f>+(L60/J60)*0.4</f>
        <v>7.1693989071038258E-2</v>
      </c>
      <c r="M63" s="10">
        <f>+(M60/J60)*0.4</f>
        <v>0.11016393442622952</v>
      </c>
    </row>
    <row r="64" spans="1:13" ht="15" customHeight="1" x14ac:dyDescent="0.2">
      <c r="A64" s="18" t="s">
        <v>294</v>
      </c>
      <c r="B64" s="6">
        <f>SUM(B65:B70)</f>
        <v>7</v>
      </c>
      <c r="C64" s="6">
        <f>SUM(C65:C70)</f>
        <v>0</v>
      </c>
      <c r="D64" s="6">
        <f>SUM(D65:D70)</f>
        <v>0</v>
      </c>
      <c r="E64" s="6">
        <f>SUM(E65:E70)</f>
        <v>1</v>
      </c>
      <c r="F64" s="6">
        <v>1420</v>
      </c>
      <c r="G64" s="6">
        <v>105</v>
      </c>
      <c r="H64" s="6">
        <v>179</v>
      </c>
      <c r="I64" s="6">
        <v>515</v>
      </c>
      <c r="J64" s="6">
        <v>240</v>
      </c>
      <c r="K64" s="6">
        <v>0</v>
      </c>
      <c r="L64" s="6">
        <v>0</v>
      </c>
      <c r="M64" s="6">
        <v>160</v>
      </c>
    </row>
    <row r="65" spans="1:13" ht="15" customHeight="1" x14ac:dyDescent="0.2">
      <c r="A65" s="7" t="s">
        <v>469</v>
      </c>
      <c r="B65" s="6">
        <v>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5" customHeight="1" x14ac:dyDescent="0.2">
      <c r="A66" s="7" t="s">
        <v>464</v>
      </c>
      <c r="B66" s="6">
        <v>1</v>
      </c>
      <c r="C66" s="6"/>
      <c r="D66" s="6"/>
      <c r="E66" s="6">
        <v>1</v>
      </c>
      <c r="F66" s="6"/>
      <c r="G66" s="6"/>
      <c r="H66" s="6"/>
      <c r="I66" s="6"/>
      <c r="J66" s="6"/>
      <c r="K66" s="6"/>
      <c r="L66" s="6"/>
      <c r="M66" s="6"/>
    </row>
    <row r="67" spans="1:13" ht="15" customHeight="1" x14ac:dyDescent="0.2">
      <c r="A67" s="7" t="s">
        <v>383</v>
      </c>
      <c r="B67" s="6">
        <v>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5" customHeight="1" x14ac:dyDescent="0.2">
      <c r="A68" s="7" t="s">
        <v>465</v>
      </c>
      <c r="B68" s="6">
        <v>2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5" customHeight="1" x14ac:dyDescent="0.2">
      <c r="A69" s="7" t="s">
        <v>558</v>
      </c>
      <c r="B69" s="6">
        <v>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5" customHeight="1" x14ac:dyDescent="0.2">
      <c r="A70" s="7" t="s">
        <v>466</v>
      </c>
      <c r="B70" s="6">
        <v>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5" customHeight="1" x14ac:dyDescent="0.2">
      <c r="A71" s="8" t="s">
        <v>13</v>
      </c>
      <c r="B71" s="10"/>
      <c r="C71" s="10">
        <f>+C64/B64</f>
        <v>0</v>
      </c>
      <c r="D71" s="10">
        <f>+D64/B64</f>
        <v>0</v>
      </c>
      <c r="E71" s="10">
        <f>+E64/B64</f>
        <v>0.14285714285714285</v>
      </c>
      <c r="F71" s="10"/>
      <c r="G71" s="10">
        <f>+(G64/F64)*0.4</f>
        <v>2.9577464788732397E-2</v>
      </c>
      <c r="H71" s="10">
        <f>+(H64/F64)*0.4</f>
        <v>5.0422535211267605E-2</v>
      </c>
      <c r="I71" s="10">
        <f>+(I64/F64)*0.4</f>
        <v>0.14507042253521127</v>
      </c>
      <c r="J71" s="10"/>
      <c r="K71" s="10">
        <f>+(K64/J64)*0.4</f>
        <v>0</v>
      </c>
      <c r="L71" s="10">
        <f>+(L64/J64)*0.4</f>
        <v>0</v>
      </c>
      <c r="M71" s="10">
        <f>+(M64/J64)*0.4</f>
        <v>0.26666666666666666</v>
      </c>
    </row>
    <row r="72" spans="1:13" ht="15" customHeight="1" x14ac:dyDescent="0.2">
      <c r="A72" s="2" t="s">
        <v>12</v>
      </c>
      <c r="B72" s="6">
        <f t="shared" ref="B72:M72" si="0">+B64+B60+B57+B47+B41+B36+B29+B26+B23+B7+B44</f>
        <v>56</v>
      </c>
      <c r="C72" s="6">
        <f t="shared" si="0"/>
        <v>4</v>
      </c>
      <c r="D72" s="6">
        <f t="shared" si="0"/>
        <v>7</v>
      </c>
      <c r="E72" s="6">
        <f t="shared" si="0"/>
        <v>17</v>
      </c>
      <c r="F72" s="6">
        <f t="shared" si="0"/>
        <v>87490</v>
      </c>
      <c r="G72" s="6">
        <f t="shared" si="0"/>
        <v>11860</v>
      </c>
      <c r="H72" s="6">
        <f t="shared" si="0"/>
        <v>16592</v>
      </c>
      <c r="I72" s="6">
        <f t="shared" si="0"/>
        <v>26400</v>
      </c>
      <c r="J72" s="6">
        <f t="shared" si="0"/>
        <v>18635</v>
      </c>
      <c r="K72" s="6">
        <f t="shared" si="0"/>
        <v>2045</v>
      </c>
      <c r="L72" s="6">
        <f t="shared" si="0"/>
        <v>3516</v>
      </c>
      <c r="M72" s="6">
        <f t="shared" si="0"/>
        <v>5329</v>
      </c>
    </row>
    <row r="73" spans="1:13" ht="15" customHeight="1" x14ac:dyDescent="0.2">
      <c r="A73" s="8" t="s">
        <v>13</v>
      </c>
      <c r="B73" s="14"/>
      <c r="C73" s="14">
        <f>+C72/B72</f>
        <v>7.1428571428571425E-2</v>
      </c>
      <c r="D73" s="14">
        <f>+D72/B72</f>
        <v>0.125</v>
      </c>
      <c r="E73" s="14">
        <f>+E72/B72</f>
        <v>0.30357142857142855</v>
      </c>
      <c r="F73" s="14"/>
      <c r="G73" s="14">
        <f>+(G72/F72)*0.4</f>
        <v>5.4223339810264032E-2</v>
      </c>
      <c r="H73" s="14">
        <f>+(H72/F72)*0.4</f>
        <v>7.5857812321408161E-2</v>
      </c>
      <c r="I73" s="14">
        <f>+(I72/F72)*0.4</f>
        <v>0.12069950851525889</v>
      </c>
      <c r="J73" s="14"/>
      <c r="K73" s="14">
        <f>+(K72/J72)*0.4</f>
        <v>4.3895894821572315E-2</v>
      </c>
      <c r="L73" s="14">
        <f>+(L72/J72)*0.4</f>
        <v>7.5470888113764428E-2</v>
      </c>
      <c r="M73" s="14">
        <f>+(M72/J72)*0.4</f>
        <v>0.11438690635900189</v>
      </c>
    </row>
    <row r="75" spans="1:13" ht="15" customHeight="1" x14ac:dyDescent="0.2">
      <c r="A75" s="2" t="s">
        <v>14</v>
      </c>
      <c r="B75" s="2" t="s">
        <v>3</v>
      </c>
      <c r="C75" s="2" t="s">
        <v>55</v>
      </c>
      <c r="D75" s="2" t="s">
        <v>4</v>
      </c>
    </row>
    <row r="77" spans="1:13" ht="15" customHeight="1" x14ac:dyDescent="0.2">
      <c r="A77" s="1" t="s">
        <v>87</v>
      </c>
      <c r="B77" s="16">
        <f>+G73</f>
        <v>5.4223339810264032E-2</v>
      </c>
      <c r="C77" s="16">
        <f>+H73</f>
        <v>7.5857812321408161E-2</v>
      </c>
      <c r="D77" s="16">
        <f>+I73</f>
        <v>0.12069950851525889</v>
      </c>
    </row>
    <row r="78" spans="1:13" ht="15" customHeight="1" x14ac:dyDescent="0.2">
      <c r="A78" s="1" t="s">
        <v>20</v>
      </c>
      <c r="B78" s="16">
        <f>+K73</f>
        <v>4.3895894821572315E-2</v>
      </c>
      <c r="C78" s="16">
        <f>+L73</f>
        <v>7.5470888113764428E-2</v>
      </c>
      <c r="D78" s="16">
        <f>+M73</f>
        <v>0.11438690635900189</v>
      </c>
    </row>
    <row r="79" spans="1:13" ht="15" customHeight="1" x14ac:dyDescent="0.2">
      <c r="A79" s="1" t="s">
        <v>21</v>
      </c>
      <c r="B79" s="16">
        <v>2.1499999999999998E-2</v>
      </c>
      <c r="C79" s="16">
        <v>3.3000000000000002E-2</v>
      </c>
      <c r="D79" s="16">
        <v>9.3200000000000005E-2</v>
      </c>
    </row>
    <row r="80" spans="1:13" ht="15" customHeight="1" x14ac:dyDescent="0.2">
      <c r="A80" s="17" t="s">
        <v>12</v>
      </c>
      <c r="B80" s="14">
        <f>SUM(B77:B79)</f>
        <v>0.11961923463183635</v>
      </c>
      <c r="C80" s="14">
        <f>SUM(C77:C79)</f>
        <v>0.1843287004351726</v>
      </c>
      <c r="D80" s="14">
        <f>SUM(D77:D79)</f>
        <v>0.3282864148742608</v>
      </c>
    </row>
  </sheetData>
  <sortState ref="A8:M21">
    <sortCondition ref="A8:A2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25" header="0.5" footer="0.3"/>
  <pageSetup scale="98" orientation="landscape" r:id="rId1"/>
  <headerFooter alignWithMargins="0">
    <oddHeader>&amp;C&amp;"Times New Roman,Bold"AVAILABILITY ANALYSIS - 08/31/2018
&amp;REXHIBIT 5</oddHeader>
    <oddFooter>&amp;RUpdated: 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7" zoomScaleNormal="100" workbookViewId="0">
      <selection activeCell="D67" sqref="D67"/>
    </sheetView>
  </sheetViews>
  <sheetFormatPr defaultColWidth="9.33203125" defaultRowHeight="15" customHeight="1" x14ac:dyDescent="0.2"/>
  <cols>
    <col min="1" max="1" width="41.6640625" style="1" customWidth="1"/>
    <col min="2" max="2" width="9.33203125" style="1" bestFit="1"/>
    <col min="3" max="3" width="10.1640625" style="1" bestFit="1" customWidth="1"/>
    <col min="4" max="4" width="11" style="1" bestFit="1" customWidth="1"/>
    <col min="5" max="5" width="10.1640625" style="1" bestFit="1" customWidth="1"/>
    <col min="6" max="6" width="9.5" style="1" bestFit="1" customWidth="1"/>
    <col min="7" max="7" width="8.33203125" style="1" customWidth="1"/>
    <col min="8" max="8" width="9.33203125" style="1" bestFit="1"/>
    <col min="9" max="9" width="9.5" style="1" bestFit="1" customWidth="1"/>
    <col min="10" max="10" width="9" style="1" bestFit="1" customWidth="1"/>
    <col min="11" max="11" width="9.33203125" style="1" bestFit="1"/>
    <col min="12" max="13" width="9.5" style="1" bestFit="1" customWidth="1"/>
    <col min="14" max="16384" width="9.33203125" style="1"/>
  </cols>
  <sheetData>
    <row r="1" spans="1:13" ht="15" customHeight="1" x14ac:dyDescent="0.2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23</v>
      </c>
      <c r="G5" s="46"/>
      <c r="H5" s="46"/>
      <c r="I5" s="46"/>
      <c r="J5" s="46" t="s">
        <v>19</v>
      </c>
      <c r="K5" s="46"/>
      <c r="L5" s="46"/>
      <c r="M5" s="46"/>
    </row>
    <row r="6" spans="1:13" ht="15" customHeight="1" x14ac:dyDescent="0.2">
      <c r="A6" s="2" t="s">
        <v>1</v>
      </c>
      <c r="B6" s="2" t="s">
        <v>8</v>
      </c>
      <c r="C6" s="2" t="s">
        <v>3</v>
      </c>
      <c r="D6" s="2" t="s">
        <v>55</v>
      </c>
      <c r="E6" s="2" t="s">
        <v>4</v>
      </c>
      <c r="F6" s="2" t="s">
        <v>8</v>
      </c>
      <c r="G6" s="2" t="s">
        <v>3</v>
      </c>
      <c r="H6" s="2" t="s">
        <v>55</v>
      </c>
      <c r="I6" s="2" t="s">
        <v>4</v>
      </c>
      <c r="J6" s="2" t="s">
        <v>8</v>
      </c>
      <c r="K6" s="2" t="s">
        <v>3</v>
      </c>
      <c r="L6" s="2" t="s">
        <v>55</v>
      </c>
      <c r="M6" s="2" t="s">
        <v>4</v>
      </c>
    </row>
    <row r="7" spans="1:13" ht="15" customHeight="1" x14ac:dyDescent="0.2">
      <c r="A7" s="5" t="s">
        <v>268</v>
      </c>
      <c r="B7" s="6">
        <f>SUM(B8:B11)</f>
        <v>4</v>
      </c>
      <c r="C7" s="6">
        <f>SUM(C8:C11)</f>
        <v>2</v>
      </c>
      <c r="D7" s="6">
        <f>SUM(D8:D11)</f>
        <v>2</v>
      </c>
      <c r="E7" s="6">
        <f>SUM(E8:E11)</f>
        <v>3</v>
      </c>
      <c r="F7" s="6">
        <v>1510</v>
      </c>
      <c r="G7" s="6">
        <v>285</v>
      </c>
      <c r="H7" s="6">
        <v>319</v>
      </c>
      <c r="I7" s="6">
        <v>1295</v>
      </c>
      <c r="J7" s="6">
        <v>1780</v>
      </c>
      <c r="K7" s="6">
        <v>300</v>
      </c>
      <c r="L7" s="6">
        <v>334</v>
      </c>
      <c r="M7" s="6">
        <v>1550</v>
      </c>
    </row>
    <row r="8" spans="1:13" ht="15" customHeight="1" x14ac:dyDescent="0.2">
      <c r="A8" s="7" t="s">
        <v>317</v>
      </c>
      <c r="B8" s="6">
        <v>1</v>
      </c>
      <c r="C8" s="6"/>
      <c r="D8" s="6"/>
      <c r="E8" s="6">
        <v>1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493</v>
      </c>
      <c r="B9" s="6">
        <v>1</v>
      </c>
      <c r="C9" s="6"/>
      <c r="D9" s="6"/>
      <c r="E9" s="6">
        <v>1</v>
      </c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494</v>
      </c>
      <c r="B10" s="6">
        <v>1</v>
      </c>
      <c r="C10" s="6">
        <v>1</v>
      </c>
      <c r="D10" s="6">
        <v>1</v>
      </c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197</v>
      </c>
      <c r="B11" s="6">
        <v>1</v>
      </c>
      <c r="C11" s="6">
        <v>1</v>
      </c>
      <c r="D11" s="6">
        <v>1</v>
      </c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8" t="s">
        <v>13</v>
      </c>
      <c r="B12" s="9"/>
      <c r="C12" s="10">
        <f>+C7/B7</f>
        <v>0.5</v>
      </c>
      <c r="D12" s="10">
        <f>+D7/B7</f>
        <v>0.5</v>
      </c>
      <c r="E12" s="10">
        <f>+E7/B7</f>
        <v>0.75</v>
      </c>
      <c r="F12" s="9"/>
      <c r="G12" s="10">
        <f>(G7/F7)*0.3</f>
        <v>5.6622516556291386E-2</v>
      </c>
      <c r="H12" s="10">
        <f>(H7/F7)*0.3</f>
        <v>6.337748344370861E-2</v>
      </c>
      <c r="I12" s="10">
        <f>+(I7/F7)*0.3</f>
        <v>0.25728476821192053</v>
      </c>
      <c r="J12" s="9"/>
      <c r="K12" s="10">
        <f>+(K7/J7)*0.5</f>
        <v>8.4269662921348312E-2</v>
      </c>
      <c r="L12" s="10">
        <f>+(L7/J7)*0.5</f>
        <v>9.382022471910112E-2</v>
      </c>
      <c r="M12" s="10">
        <f>+(M7/J7)*0.5</f>
        <v>0.4353932584269663</v>
      </c>
    </row>
    <row r="13" spans="1:13" ht="15" customHeight="1" x14ac:dyDescent="0.2">
      <c r="A13" s="5" t="s">
        <v>108</v>
      </c>
      <c r="B13" s="6">
        <f>SUM(B14:B15)</f>
        <v>2</v>
      </c>
      <c r="C13" s="6">
        <f>SUM(C14:C15)</f>
        <v>1</v>
      </c>
      <c r="D13" s="6">
        <f>SUM(D14:D15)</f>
        <v>1</v>
      </c>
      <c r="E13" s="6">
        <f>SUM(E14:E15)</f>
        <v>2</v>
      </c>
      <c r="F13" s="6">
        <v>770</v>
      </c>
      <c r="G13" s="6">
        <v>225</v>
      </c>
      <c r="H13" s="6">
        <v>249</v>
      </c>
      <c r="I13" s="6">
        <v>680</v>
      </c>
      <c r="J13" s="6">
        <v>80</v>
      </c>
      <c r="K13" s="6">
        <v>4</v>
      </c>
      <c r="L13" s="6">
        <v>24</v>
      </c>
      <c r="M13" s="6">
        <v>80</v>
      </c>
    </row>
    <row r="14" spans="1:13" ht="15" customHeight="1" x14ac:dyDescent="0.2">
      <c r="A14" s="7" t="s">
        <v>358</v>
      </c>
      <c r="B14" s="6">
        <v>1</v>
      </c>
      <c r="C14" s="6">
        <v>1</v>
      </c>
      <c r="D14" s="6">
        <v>1</v>
      </c>
      <c r="E14" s="6">
        <v>1</v>
      </c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7" t="s">
        <v>224</v>
      </c>
      <c r="B15" s="6">
        <v>1</v>
      </c>
      <c r="C15" s="6"/>
      <c r="D15" s="6"/>
      <c r="E15" s="6">
        <v>1</v>
      </c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2">
      <c r="A16" s="8" t="s">
        <v>13</v>
      </c>
      <c r="B16" s="9"/>
      <c r="C16" s="10">
        <f>+C13/B13</f>
        <v>0.5</v>
      </c>
      <c r="D16" s="10">
        <f>+D13/B13</f>
        <v>0.5</v>
      </c>
      <c r="E16" s="10">
        <f>+E13/B13</f>
        <v>1</v>
      </c>
      <c r="F16" s="9"/>
      <c r="G16" s="10">
        <f>(G13/F13)*0.3</f>
        <v>8.766233766233765E-2</v>
      </c>
      <c r="H16" s="10">
        <f>(H13/F13)*0.3</f>
        <v>9.7012987012987009E-2</v>
      </c>
      <c r="I16" s="10">
        <f>+(I13/F13)*0.3</f>
        <v>0.26493506493506491</v>
      </c>
      <c r="J16" s="9"/>
      <c r="K16" s="10">
        <f>+(K13/J13)*0.5</f>
        <v>2.5000000000000001E-2</v>
      </c>
      <c r="L16" s="10">
        <f>+(L13/J13)*0.5</f>
        <v>0.15</v>
      </c>
      <c r="M16" s="10">
        <f>+(M13/J13)*0.5</f>
        <v>0.5</v>
      </c>
    </row>
    <row r="17" spans="1:13" ht="15" customHeight="1" x14ac:dyDescent="0.2">
      <c r="A17" s="5" t="s">
        <v>109</v>
      </c>
      <c r="B17" s="6">
        <f>SUM(B18:B18)</f>
        <v>4</v>
      </c>
      <c r="C17" s="6">
        <f>SUM(C18:C18)</f>
        <v>0</v>
      </c>
      <c r="D17" s="6">
        <f>SUM(D18:D18)</f>
        <v>1</v>
      </c>
      <c r="E17" s="6">
        <f>SUM(E18:E18)</f>
        <v>3</v>
      </c>
      <c r="F17" s="6">
        <v>65</v>
      </c>
      <c r="G17" s="6">
        <v>15</v>
      </c>
      <c r="H17" s="6">
        <v>19</v>
      </c>
      <c r="I17" s="6">
        <v>65</v>
      </c>
      <c r="J17" s="6">
        <v>69</v>
      </c>
      <c r="K17" s="6">
        <v>15</v>
      </c>
      <c r="L17" s="6">
        <v>19</v>
      </c>
      <c r="M17" s="6">
        <v>69</v>
      </c>
    </row>
    <row r="18" spans="1:13" ht="15" customHeight="1" x14ac:dyDescent="0.2">
      <c r="A18" s="7" t="s">
        <v>78</v>
      </c>
      <c r="B18" s="6">
        <v>4</v>
      </c>
      <c r="C18" s="6"/>
      <c r="D18" s="6">
        <v>1</v>
      </c>
      <c r="E18" s="6">
        <v>3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8" t="s">
        <v>13</v>
      </c>
      <c r="B19" s="9"/>
      <c r="C19" s="10">
        <f>+C17/B17</f>
        <v>0</v>
      </c>
      <c r="D19" s="10">
        <f>+D17/B17</f>
        <v>0.25</v>
      </c>
      <c r="E19" s="10">
        <f>+E17/B17</f>
        <v>0.75</v>
      </c>
      <c r="F19" s="9"/>
      <c r="G19" s="10">
        <f>(G17/F17)*0.3</f>
        <v>6.9230769230769235E-2</v>
      </c>
      <c r="H19" s="10">
        <f>(H17/F17)*0.3</f>
        <v>8.7692307692307694E-2</v>
      </c>
      <c r="I19" s="10">
        <f>+(I17/F17)*0.3</f>
        <v>0.3</v>
      </c>
      <c r="J19" s="9"/>
      <c r="K19" s="10">
        <f>+(K17/J17)*0.5</f>
        <v>0.10869565217391304</v>
      </c>
      <c r="L19" s="10">
        <f>+(L17/J17)*0.5</f>
        <v>0.13768115942028986</v>
      </c>
      <c r="M19" s="10">
        <f>+(M17/J17)*0.5</f>
        <v>0.5</v>
      </c>
    </row>
    <row r="20" spans="1:13" ht="15" customHeight="1" x14ac:dyDescent="0.2">
      <c r="A20" s="5" t="s">
        <v>110</v>
      </c>
      <c r="B20" s="6">
        <f>SUM(B21:B25)</f>
        <v>5</v>
      </c>
      <c r="C20" s="6">
        <f>SUM(C21:C25)</f>
        <v>1</v>
      </c>
      <c r="D20" s="6">
        <f>SUM(D21:D25)</f>
        <v>2</v>
      </c>
      <c r="E20" s="6">
        <f>SUM(E21:E25)</f>
        <v>4</v>
      </c>
      <c r="F20" s="6">
        <v>120</v>
      </c>
      <c r="G20" s="6">
        <v>25</v>
      </c>
      <c r="H20" s="6">
        <v>25</v>
      </c>
      <c r="I20" s="6">
        <v>110</v>
      </c>
      <c r="J20" s="6">
        <v>135</v>
      </c>
      <c r="K20" s="6">
        <v>25</v>
      </c>
      <c r="L20" s="6">
        <v>25</v>
      </c>
      <c r="M20" s="6">
        <v>125</v>
      </c>
    </row>
    <row r="21" spans="1:13" ht="15" customHeight="1" x14ac:dyDescent="0.2">
      <c r="A21" s="7" t="s">
        <v>384</v>
      </c>
      <c r="B21" s="6">
        <v>1</v>
      </c>
      <c r="C21" s="6"/>
      <c r="D21" s="6"/>
      <c r="E21" s="6">
        <v>1</v>
      </c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">
      <c r="A22" s="7" t="s">
        <v>231</v>
      </c>
      <c r="B22" s="6">
        <v>1</v>
      </c>
      <c r="C22" s="6"/>
      <c r="D22" s="6">
        <v>1</v>
      </c>
      <c r="E22" s="6">
        <v>1</v>
      </c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7" t="s">
        <v>102</v>
      </c>
      <c r="B23" s="6">
        <v>1</v>
      </c>
      <c r="C23" s="6">
        <v>1</v>
      </c>
      <c r="D23" s="6">
        <v>1</v>
      </c>
      <c r="E23" s="6">
        <v>1</v>
      </c>
      <c r="F23" s="6"/>
      <c r="G23" s="6"/>
      <c r="H23" s="6"/>
      <c r="I23" s="6"/>
      <c r="J23" s="6"/>
      <c r="K23" s="6"/>
      <c r="L23" s="6"/>
      <c r="M23" s="6"/>
    </row>
    <row r="24" spans="1:13" ht="15" customHeight="1" x14ac:dyDescent="0.2">
      <c r="A24" s="7" t="s">
        <v>386</v>
      </c>
      <c r="B24" s="6">
        <v>1</v>
      </c>
      <c r="C24" s="6"/>
      <c r="D24" s="6"/>
      <c r="E24" s="6">
        <v>1</v>
      </c>
      <c r="F24" s="6"/>
      <c r="G24" s="6"/>
      <c r="H24" s="6"/>
      <c r="I24" s="6"/>
      <c r="J24" s="6"/>
      <c r="K24" s="6"/>
      <c r="L24" s="6"/>
      <c r="M24" s="6"/>
    </row>
    <row r="25" spans="1:13" ht="15" customHeight="1" x14ac:dyDescent="0.2">
      <c r="A25" s="7" t="s">
        <v>387</v>
      </c>
      <c r="B25" s="6">
        <v>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">
      <c r="A26" s="8" t="s">
        <v>13</v>
      </c>
      <c r="B26" s="9"/>
      <c r="C26" s="10">
        <f>+C20/B20</f>
        <v>0.2</v>
      </c>
      <c r="D26" s="10">
        <f>+D20/B20</f>
        <v>0.4</v>
      </c>
      <c r="E26" s="10">
        <f>+E20/B20</f>
        <v>0.8</v>
      </c>
      <c r="F26" s="9"/>
      <c r="G26" s="10">
        <f>(G20/F20)*0.3</f>
        <v>6.25E-2</v>
      </c>
      <c r="H26" s="10">
        <f>(H20/F20)*0.3</f>
        <v>6.25E-2</v>
      </c>
      <c r="I26" s="10">
        <f>+(I20/F20)*0.3</f>
        <v>0.27499999999999997</v>
      </c>
      <c r="J26" s="9"/>
      <c r="K26" s="10">
        <f>+(K20/J20)*0.5</f>
        <v>9.2592592592592587E-2</v>
      </c>
      <c r="L26" s="10">
        <f>+(L20/J20)*0.5</f>
        <v>9.2592592592592587E-2</v>
      </c>
      <c r="M26" s="10">
        <f>+(M20/J20)*0.5</f>
        <v>0.46296296296296297</v>
      </c>
    </row>
    <row r="27" spans="1:13" ht="15" customHeight="1" x14ac:dyDescent="0.2">
      <c r="A27" s="5" t="s">
        <v>111</v>
      </c>
      <c r="B27" s="6">
        <f>SUM(B28:B42)</f>
        <v>15</v>
      </c>
      <c r="C27" s="6">
        <f>SUM(C28:C42)</f>
        <v>2</v>
      </c>
      <c r="D27" s="6">
        <f>SUM(D28:D42)</f>
        <v>2</v>
      </c>
      <c r="E27" s="6">
        <f>SUM(E28:E42)</f>
        <v>13</v>
      </c>
      <c r="F27" s="6">
        <v>580</v>
      </c>
      <c r="G27" s="6">
        <v>85</v>
      </c>
      <c r="H27" s="6">
        <v>110</v>
      </c>
      <c r="I27" s="6">
        <v>375</v>
      </c>
      <c r="J27" s="6">
        <v>590</v>
      </c>
      <c r="K27" s="6">
        <v>85</v>
      </c>
      <c r="L27" s="6">
        <v>110</v>
      </c>
      <c r="M27" s="6">
        <v>385</v>
      </c>
    </row>
    <row r="28" spans="1:13" ht="15" customHeight="1" x14ac:dyDescent="0.2">
      <c r="A28" s="7" t="s">
        <v>166</v>
      </c>
      <c r="B28" s="6">
        <v>1</v>
      </c>
      <c r="C28" s="6"/>
      <c r="D28" s="6"/>
      <c r="E28" s="6">
        <v>1</v>
      </c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24" t="s">
        <v>475</v>
      </c>
      <c r="B29" s="6">
        <v>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7" t="s">
        <v>250</v>
      </c>
      <c r="B30" s="6">
        <v>1</v>
      </c>
      <c r="C30" s="6"/>
      <c r="D30" s="6"/>
      <c r="E30" s="6">
        <v>1</v>
      </c>
      <c r="F30" s="6"/>
      <c r="G30" s="6"/>
      <c r="H30" s="6"/>
      <c r="I30" s="6"/>
      <c r="J30" s="6"/>
      <c r="K30" s="6"/>
      <c r="L30" s="6"/>
      <c r="M30" s="6"/>
    </row>
    <row r="31" spans="1:13" ht="15" customHeight="1" x14ac:dyDescent="0.2">
      <c r="A31" s="7" t="s">
        <v>476</v>
      </c>
      <c r="B31" s="6">
        <v>1</v>
      </c>
      <c r="C31" s="6">
        <v>1</v>
      </c>
      <c r="D31" s="6">
        <v>1</v>
      </c>
      <c r="E31" s="6">
        <v>1</v>
      </c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24" t="s">
        <v>478</v>
      </c>
      <c r="B32" s="6">
        <v>1</v>
      </c>
      <c r="C32" s="6"/>
      <c r="D32" s="6"/>
      <c r="E32" s="6">
        <v>1</v>
      </c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24" t="s">
        <v>477</v>
      </c>
      <c r="B33" s="6">
        <v>1</v>
      </c>
      <c r="C33" s="6"/>
      <c r="D33" s="6"/>
      <c r="E33" s="6">
        <v>1</v>
      </c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7" t="s">
        <v>28</v>
      </c>
      <c r="B34" s="6">
        <v>1</v>
      </c>
      <c r="C34" s="6"/>
      <c r="D34" s="6"/>
      <c r="E34" s="6">
        <v>1</v>
      </c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389</v>
      </c>
      <c r="B35" s="1">
        <v>1</v>
      </c>
      <c r="C35" s="1">
        <v>1</v>
      </c>
      <c r="D35" s="1">
        <v>1</v>
      </c>
      <c r="E35" s="1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7" t="s">
        <v>495</v>
      </c>
      <c r="B36" s="1">
        <v>1</v>
      </c>
      <c r="E36" s="1">
        <v>1</v>
      </c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7" t="s">
        <v>388</v>
      </c>
      <c r="B37" s="1">
        <v>1</v>
      </c>
      <c r="E37" s="1">
        <v>1</v>
      </c>
      <c r="F37" s="6"/>
      <c r="G37" s="6"/>
      <c r="H37" s="6"/>
      <c r="I37" s="6"/>
      <c r="J37" s="6"/>
      <c r="K37" s="6"/>
      <c r="L37" s="6"/>
      <c r="M37" s="6"/>
    </row>
    <row r="38" spans="1:13" ht="15" customHeight="1" x14ac:dyDescent="0.2">
      <c r="A38" s="7" t="s">
        <v>472</v>
      </c>
      <c r="B38" s="1">
        <v>1</v>
      </c>
      <c r="E38" s="1">
        <v>1</v>
      </c>
      <c r="F38" s="6"/>
      <c r="G38" s="6"/>
      <c r="H38" s="6"/>
      <c r="I38" s="6"/>
      <c r="J38" s="6"/>
      <c r="K38" s="6"/>
      <c r="L38" s="6"/>
      <c r="M38" s="6"/>
    </row>
    <row r="39" spans="1:13" ht="15" customHeight="1" x14ac:dyDescent="0.2">
      <c r="A39" s="7" t="s">
        <v>473</v>
      </c>
      <c r="B39" s="6">
        <v>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" customHeight="1" x14ac:dyDescent="0.2">
      <c r="A40" s="7" t="s">
        <v>222</v>
      </c>
      <c r="B40" s="6">
        <v>1</v>
      </c>
      <c r="C40" s="6"/>
      <c r="D40" s="6"/>
      <c r="E40" s="6">
        <v>1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7" t="s">
        <v>496</v>
      </c>
      <c r="B41" s="6">
        <v>1</v>
      </c>
      <c r="C41" s="6"/>
      <c r="D41" s="6"/>
      <c r="E41" s="6">
        <v>1</v>
      </c>
      <c r="F41" s="6"/>
      <c r="G41" s="6"/>
      <c r="H41" s="6"/>
      <c r="I41" s="6"/>
      <c r="J41" s="6"/>
      <c r="K41" s="6"/>
      <c r="L41" s="6"/>
      <c r="M41" s="6"/>
    </row>
    <row r="42" spans="1:13" ht="15" customHeight="1" x14ac:dyDescent="0.2">
      <c r="A42" s="7" t="s">
        <v>385</v>
      </c>
      <c r="B42" s="6">
        <v>1</v>
      </c>
      <c r="C42" s="6"/>
      <c r="D42" s="6"/>
      <c r="E42" s="6">
        <v>1</v>
      </c>
      <c r="F42" s="6"/>
      <c r="G42" s="6"/>
      <c r="H42" s="6"/>
      <c r="I42" s="6"/>
      <c r="J42" s="6"/>
      <c r="K42" s="6"/>
      <c r="L42" s="6"/>
      <c r="M42" s="6"/>
    </row>
    <row r="43" spans="1:13" ht="15" customHeight="1" x14ac:dyDescent="0.2">
      <c r="A43" s="8" t="s">
        <v>13</v>
      </c>
      <c r="B43" s="9"/>
      <c r="C43" s="10">
        <f>+C27/B27</f>
        <v>0.13333333333333333</v>
      </c>
      <c r="D43" s="10">
        <f>+D27/B27</f>
        <v>0.13333333333333333</v>
      </c>
      <c r="E43" s="10">
        <f>+E27/B27</f>
        <v>0.8666666666666667</v>
      </c>
      <c r="F43" s="9"/>
      <c r="G43" s="10">
        <f>(G27/F27)*0.3</f>
        <v>4.3965517241379308E-2</v>
      </c>
      <c r="H43" s="10">
        <f>(H27/F27)*0.3</f>
        <v>5.6896551724137927E-2</v>
      </c>
      <c r="I43" s="10">
        <f>+(I27/F27)*0.3</f>
        <v>0.19396551724137931</v>
      </c>
      <c r="J43" s="9"/>
      <c r="K43" s="10">
        <f>+(K27/J27)*0.5</f>
        <v>7.2033898305084748E-2</v>
      </c>
      <c r="L43" s="10">
        <f>+(L27/J27)*0.5</f>
        <v>9.3220338983050849E-2</v>
      </c>
      <c r="M43" s="10">
        <f>+(M27/J27)*0.5</f>
        <v>0.32627118644067798</v>
      </c>
    </row>
    <row r="44" spans="1:13" ht="15" customHeight="1" x14ac:dyDescent="0.2">
      <c r="A44" s="12" t="s">
        <v>132</v>
      </c>
      <c r="B44" s="1">
        <f>SUM(B45:B45)</f>
        <v>1</v>
      </c>
      <c r="C44" s="1">
        <f>SUM(C45:C45)</f>
        <v>1</v>
      </c>
      <c r="D44" s="1">
        <f>SUM(D45:D45)</f>
        <v>1</v>
      </c>
      <c r="E44" s="1">
        <f>SUM(E45:E45)</f>
        <v>1</v>
      </c>
      <c r="F44" s="1">
        <v>3445</v>
      </c>
      <c r="G44" s="1">
        <v>480</v>
      </c>
      <c r="H44" s="1">
        <v>570</v>
      </c>
      <c r="I44" s="1">
        <v>1915</v>
      </c>
      <c r="J44" s="1">
        <v>875</v>
      </c>
      <c r="K44" s="1">
        <v>200</v>
      </c>
      <c r="L44" s="1">
        <v>239</v>
      </c>
      <c r="M44" s="1">
        <v>580</v>
      </c>
    </row>
    <row r="45" spans="1:13" ht="15" customHeight="1" x14ac:dyDescent="0.2">
      <c r="A45" s="7" t="s">
        <v>360</v>
      </c>
      <c r="B45" s="1">
        <v>1</v>
      </c>
      <c r="C45" s="1">
        <v>1</v>
      </c>
      <c r="D45" s="1">
        <v>1</v>
      </c>
      <c r="E45" s="1">
        <v>1</v>
      </c>
    </row>
    <row r="46" spans="1:13" ht="15" customHeight="1" x14ac:dyDescent="0.2">
      <c r="A46" s="8" t="s">
        <v>13</v>
      </c>
      <c r="B46" s="14"/>
      <c r="C46" s="14">
        <f>+C44/B44</f>
        <v>1</v>
      </c>
      <c r="D46" s="14">
        <f>+D44/B44</f>
        <v>1</v>
      </c>
      <c r="E46" s="14">
        <f>+E44/B44</f>
        <v>1</v>
      </c>
      <c r="F46" s="14"/>
      <c r="G46" s="14">
        <f>+(G44/F44)*0.3</f>
        <v>4.1799709724238021E-2</v>
      </c>
      <c r="H46" s="14">
        <f>+(H44/F44)*0.3</f>
        <v>4.963715529753266E-2</v>
      </c>
      <c r="I46" s="14">
        <f>+(I44/F44)*0.3</f>
        <v>0.16676342525399129</v>
      </c>
      <c r="J46" s="14"/>
      <c r="K46" s="14">
        <f>+(K44/J44)*0.5</f>
        <v>0.11428571428571428</v>
      </c>
      <c r="L46" s="14">
        <f>+(L44/J44)*0.5</f>
        <v>0.13657142857142857</v>
      </c>
      <c r="M46" s="14">
        <f>+(M44/J44)*0.5</f>
        <v>0.33142857142857141</v>
      </c>
    </row>
    <row r="47" spans="1:13" ht="15" customHeight="1" x14ac:dyDescent="0.2">
      <c r="A47" s="5" t="s">
        <v>112</v>
      </c>
      <c r="B47" s="6">
        <f>SUM(B48:B50)</f>
        <v>42</v>
      </c>
      <c r="C47" s="6">
        <f>SUM(C48:C50)</f>
        <v>8</v>
      </c>
      <c r="D47" s="6">
        <f>SUM(D48:D50)</f>
        <v>9</v>
      </c>
      <c r="E47" s="6">
        <f>SUM(E48:E50)</f>
        <v>40</v>
      </c>
      <c r="F47" s="6">
        <v>4685</v>
      </c>
      <c r="G47" s="6">
        <v>884</v>
      </c>
      <c r="H47" s="6">
        <v>1139</v>
      </c>
      <c r="I47" s="6">
        <v>4525</v>
      </c>
      <c r="J47" s="6">
        <v>5210</v>
      </c>
      <c r="K47" s="6">
        <v>899</v>
      </c>
      <c r="L47" s="6">
        <v>1189</v>
      </c>
      <c r="M47" s="6">
        <v>5050</v>
      </c>
    </row>
    <row r="48" spans="1:13" ht="15" customHeight="1" x14ac:dyDescent="0.2">
      <c r="A48" s="7" t="s">
        <v>103</v>
      </c>
      <c r="B48" s="6">
        <v>2</v>
      </c>
      <c r="C48" s="6">
        <v>1</v>
      </c>
      <c r="D48" s="6">
        <v>1</v>
      </c>
      <c r="E48" s="6">
        <v>2</v>
      </c>
      <c r="F48" s="6"/>
      <c r="G48" s="6"/>
      <c r="H48" s="6"/>
      <c r="I48" s="6"/>
      <c r="J48" s="6"/>
      <c r="K48" s="6"/>
      <c r="L48" s="6"/>
      <c r="M48" s="6"/>
    </row>
    <row r="49" spans="1:13" ht="15" customHeight="1" x14ac:dyDescent="0.2">
      <c r="A49" s="7" t="s">
        <v>31</v>
      </c>
      <c r="B49" s="6">
        <v>15</v>
      </c>
      <c r="C49" s="6">
        <v>1</v>
      </c>
      <c r="D49" s="6">
        <v>2</v>
      </c>
      <c r="E49" s="6">
        <v>14</v>
      </c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7" t="s">
        <v>33</v>
      </c>
      <c r="B50" s="6">
        <v>25</v>
      </c>
      <c r="C50" s="6">
        <v>6</v>
      </c>
      <c r="D50" s="6">
        <v>6</v>
      </c>
      <c r="E50" s="6">
        <v>24</v>
      </c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8" t="s">
        <v>13</v>
      </c>
      <c r="B51" s="9"/>
      <c r="C51" s="10">
        <f>+C47/B47</f>
        <v>0.19047619047619047</v>
      </c>
      <c r="D51" s="10">
        <f>+D47/B47</f>
        <v>0.21428571428571427</v>
      </c>
      <c r="E51" s="10">
        <f>+E47/B47</f>
        <v>0.95238095238095233</v>
      </c>
      <c r="F51" s="9"/>
      <c r="G51" s="10">
        <f>(G47/F47)*0.3</f>
        <v>5.6606189967982924E-2</v>
      </c>
      <c r="H51" s="10">
        <f>(H47/F47)*0.3</f>
        <v>7.2934898612593377E-2</v>
      </c>
      <c r="I51" s="10">
        <f>+(I47/F47)*0.3</f>
        <v>0.28975453575240123</v>
      </c>
      <c r="J51" s="9"/>
      <c r="K51" s="10">
        <f>+(K47/J47)*0.5</f>
        <v>8.62763915547025E-2</v>
      </c>
      <c r="L51" s="10">
        <f>+(L47/J47)*0.5</f>
        <v>0.11410748560460653</v>
      </c>
      <c r="M51" s="10">
        <f>+(M47/J47)*0.5</f>
        <v>0.48464491362763917</v>
      </c>
    </row>
    <row r="52" spans="1:13" ht="15" customHeight="1" x14ac:dyDescent="0.2">
      <c r="A52" s="12" t="s">
        <v>113</v>
      </c>
      <c r="B52" s="1">
        <f>SUM(B53:B54)</f>
        <v>2</v>
      </c>
      <c r="C52" s="1">
        <f>SUM(C53:C54)</f>
        <v>0</v>
      </c>
      <c r="D52" s="1">
        <f>SUM(D53:D54)</f>
        <v>0</v>
      </c>
      <c r="E52" s="1">
        <f>SUM(E53:E54)</f>
        <v>2</v>
      </c>
      <c r="F52" s="1">
        <v>1050</v>
      </c>
      <c r="G52" s="1">
        <v>205</v>
      </c>
      <c r="H52" s="1">
        <v>260</v>
      </c>
      <c r="I52" s="1">
        <v>340</v>
      </c>
      <c r="J52" s="1">
        <v>1125</v>
      </c>
      <c r="K52" s="1">
        <v>220</v>
      </c>
      <c r="L52" s="1">
        <v>275</v>
      </c>
      <c r="M52" s="1">
        <v>375</v>
      </c>
    </row>
    <row r="53" spans="1:13" ht="15" customHeight="1" x14ac:dyDescent="0.2">
      <c r="A53" s="7" t="s">
        <v>497</v>
      </c>
      <c r="B53" s="1">
        <v>1</v>
      </c>
      <c r="E53" s="1">
        <v>1</v>
      </c>
    </row>
    <row r="54" spans="1:13" ht="15" customHeight="1" x14ac:dyDescent="0.2">
      <c r="A54" s="7" t="s">
        <v>474</v>
      </c>
      <c r="B54" s="1">
        <v>1</v>
      </c>
      <c r="E54" s="1">
        <v>1</v>
      </c>
    </row>
    <row r="55" spans="1:13" ht="15" customHeight="1" x14ac:dyDescent="0.2">
      <c r="A55" s="8" t="s">
        <v>13</v>
      </c>
      <c r="B55" s="14"/>
      <c r="C55" s="14">
        <f>+C52/B52</f>
        <v>0</v>
      </c>
      <c r="D55" s="14">
        <f>+D52/B52</f>
        <v>0</v>
      </c>
      <c r="E55" s="14">
        <f>+E52/B52</f>
        <v>1</v>
      </c>
      <c r="F55" s="14"/>
      <c r="G55" s="14">
        <f>+(G52/F52)*0.3</f>
        <v>5.8571428571428566E-2</v>
      </c>
      <c r="H55" s="14">
        <f>+(H52/F52)*0.3</f>
        <v>7.4285714285714288E-2</v>
      </c>
      <c r="I55" s="14">
        <f>+(I52/F52)*0.3</f>
        <v>9.7142857142857142E-2</v>
      </c>
      <c r="J55" s="14"/>
      <c r="K55" s="14">
        <f>+(K52/J52)*0.5</f>
        <v>9.7777777777777783E-2</v>
      </c>
      <c r="L55" s="14">
        <f>+(L52/J52)*0.5</f>
        <v>0.12222222222222222</v>
      </c>
      <c r="M55" s="14">
        <f>+(M52/J52)*0.5</f>
        <v>0.16666666666666666</v>
      </c>
    </row>
    <row r="56" spans="1:13" ht="15" customHeight="1" x14ac:dyDescent="0.2">
      <c r="A56" s="18" t="s">
        <v>79</v>
      </c>
      <c r="B56" s="6">
        <f>B57</f>
        <v>1</v>
      </c>
      <c r="C56" s="6">
        <f>C57</f>
        <v>0</v>
      </c>
      <c r="D56" s="6">
        <f>D57</f>
        <v>0</v>
      </c>
      <c r="E56" s="6">
        <f>E57</f>
        <v>1</v>
      </c>
      <c r="F56" s="6">
        <v>40</v>
      </c>
      <c r="G56" s="6">
        <v>0</v>
      </c>
      <c r="H56" s="6">
        <v>0</v>
      </c>
      <c r="I56" s="6">
        <v>20</v>
      </c>
      <c r="J56" s="6">
        <v>40</v>
      </c>
      <c r="K56" s="6">
        <v>0</v>
      </c>
      <c r="L56" s="6">
        <v>0</v>
      </c>
      <c r="M56" s="6">
        <v>20</v>
      </c>
    </row>
    <row r="57" spans="1:13" ht="15" customHeight="1" x14ac:dyDescent="0.2">
      <c r="A57" s="7" t="s">
        <v>104</v>
      </c>
      <c r="B57" s="6">
        <v>1</v>
      </c>
      <c r="C57" s="6"/>
      <c r="D57" s="6"/>
      <c r="E57" s="6">
        <v>1</v>
      </c>
      <c r="F57" s="6"/>
      <c r="G57" s="6"/>
      <c r="H57" s="6"/>
      <c r="I57" s="6"/>
      <c r="J57" s="6"/>
      <c r="K57" s="6"/>
      <c r="L57" s="6"/>
      <c r="M57" s="6"/>
    </row>
    <row r="58" spans="1:13" ht="15" customHeight="1" x14ac:dyDescent="0.2">
      <c r="A58" s="8" t="s">
        <v>13</v>
      </c>
      <c r="B58" s="10"/>
      <c r="C58" s="10">
        <f>+C56/B56</f>
        <v>0</v>
      </c>
      <c r="D58" s="10">
        <f>+D56/B56</f>
        <v>0</v>
      </c>
      <c r="E58" s="10">
        <f>+E56/B56</f>
        <v>1</v>
      </c>
      <c r="F58" s="10"/>
      <c r="G58" s="10">
        <f>+(G56/F56)*0.3</f>
        <v>0</v>
      </c>
      <c r="H58" s="10">
        <f>+(H56/F56)*0.3</f>
        <v>0</v>
      </c>
      <c r="I58" s="10">
        <f>+(I56/F56)*0.3</f>
        <v>0.15</v>
      </c>
      <c r="J58" s="10"/>
      <c r="K58" s="10">
        <f>+(K56/J56)*0.5</f>
        <v>0</v>
      </c>
      <c r="L58" s="28">
        <f>+(L56/J56)*0.5</f>
        <v>0</v>
      </c>
      <c r="M58" s="10">
        <f>+(M56/J56)*0.5</f>
        <v>0.25</v>
      </c>
    </row>
    <row r="59" spans="1:13" ht="15" customHeight="1" x14ac:dyDescent="0.2">
      <c r="A59" s="2" t="s">
        <v>12</v>
      </c>
      <c r="B59" s="6">
        <f>+B7+B13+B17+B20+B27+B47+B52+B56+B44</f>
        <v>76</v>
      </c>
      <c r="C59" s="6">
        <f t="shared" ref="C59:M59" si="0">+C7+C13+C17+C20+C27+C47+C52+C56+C44</f>
        <v>15</v>
      </c>
      <c r="D59" s="6">
        <f t="shared" si="0"/>
        <v>18</v>
      </c>
      <c r="E59" s="6">
        <f t="shared" si="0"/>
        <v>69</v>
      </c>
      <c r="F59" s="6">
        <f t="shared" si="0"/>
        <v>12265</v>
      </c>
      <c r="G59" s="6">
        <f t="shared" si="0"/>
        <v>2204</v>
      </c>
      <c r="H59" s="6">
        <f t="shared" si="0"/>
        <v>2691</v>
      </c>
      <c r="I59" s="6">
        <f t="shared" si="0"/>
        <v>9325</v>
      </c>
      <c r="J59" s="6">
        <f t="shared" si="0"/>
        <v>9904</v>
      </c>
      <c r="K59" s="6">
        <f t="shared" si="0"/>
        <v>1748</v>
      </c>
      <c r="L59" s="6">
        <f t="shared" si="0"/>
        <v>2215</v>
      </c>
      <c r="M59" s="6">
        <f t="shared" si="0"/>
        <v>8234</v>
      </c>
    </row>
    <row r="60" spans="1:13" ht="15" customHeight="1" x14ac:dyDescent="0.2">
      <c r="A60" s="8" t="s">
        <v>13</v>
      </c>
      <c r="B60" s="14"/>
      <c r="C60" s="14">
        <f>+C59/B59</f>
        <v>0.19736842105263158</v>
      </c>
      <c r="D60" s="14">
        <f>+D59/B59</f>
        <v>0.23684210526315788</v>
      </c>
      <c r="E60" s="14">
        <f>+E59/B59</f>
        <v>0.90789473684210531</v>
      </c>
      <c r="F60" s="14"/>
      <c r="G60" s="14">
        <f>+(G59/F59)*0.3</f>
        <v>5.3909498573175701E-2</v>
      </c>
      <c r="H60" s="14">
        <f>+(H59/F59)*0.3</f>
        <v>6.5821443130860177E-2</v>
      </c>
      <c r="I60" s="14">
        <f>+(I59/F59)*0.3</f>
        <v>0.2280880554423155</v>
      </c>
      <c r="J60" s="14"/>
      <c r="K60" s="14">
        <f>+(K59/J59)*0.5</f>
        <v>8.8247172859450732E-2</v>
      </c>
      <c r="L60" s="14">
        <f>+(L59/J59)*0.5</f>
        <v>0.11182350565428111</v>
      </c>
      <c r="M60" s="14">
        <f>+(M59/J59)*0.5</f>
        <v>0.41569063004846529</v>
      </c>
    </row>
    <row r="62" spans="1:13" ht="15" customHeight="1" x14ac:dyDescent="0.2">
      <c r="A62" s="2" t="s">
        <v>14</v>
      </c>
      <c r="B62" s="2" t="s">
        <v>3</v>
      </c>
      <c r="C62" s="2" t="s">
        <v>55</v>
      </c>
      <c r="D62" s="2" t="s">
        <v>4</v>
      </c>
    </row>
    <row r="64" spans="1:13" ht="15" customHeight="1" x14ac:dyDescent="0.2">
      <c r="A64" s="1" t="s">
        <v>25</v>
      </c>
      <c r="B64" s="16">
        <f>+G60</f>
        <v>5.3909498573175701E-2</v>
      </c>
      <c r="C64" s="16">
        <f>+H60</f>
        <v>6.5821443130860177E-2</v>
      </c>
      <c r="D64" s="16">
        <f>+I60</f>
        <v>0.2280880554423155</v>
      </c>
    </row>
    <row r="65" spans="1:4" ht="15" customHeight="1" x14ac:dyDescent="0.2">
      <c r="A65" s="1" t="s">
        <v>35</v>
      </c>
      <c r="B65" s="16">
        <f>+K60</f>
        <v>8.8247172859450732E-2</v>
      </c>
      <c r="C65" s="16">
        <f>+L60</f>
        <v>0.11182350565428111</v>
      </c>
      <c r="D65" s="16">
        <f>+M60</f>
        <v>0.41569063004846529</v>
      </c>
    </row>
    <row r="66" spans="1:4" ht="15" customHeight="1" x14ac:dyDescent="0.2">
      <c r="A66" s="1" t="s">
        <v>21</v>
      </c>
      <c r="B66" s="16">
        <v>5.33E-2</v>
      </c>
      <c r="C66" s="16">
        <v>6.6699999999999995E-2</v>
      </c>
      <c r="D66" s="16">
        <v>0.14219999999999999</v>
      </c>
    </row>
    <row r="67" spans="1:4" ht="15" customHeight="1" x14ac:dyDescent="0.2">
      <c r="A67" s="17" t="s">
        <v>12</v>
      </c>
      <c r="B67" s="14">
        <f>SUM(B64:B66)</f>
        <v>0.19545667143262646</v>
      </c>
      <c r="C67" s="14">
        <f>SUM(C64:C66)</f>
        <v>0.24434494878514129</v>
      </c>
      <c r="D67" s="14">
        <f>SUM(D64:D66)</f>
        <v>0.78597868549078076</v>
      </c>
    </row>
  </sheetData>
  <sortState ref="A48:M51">
    <sortCondition ref="A48:A5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25"/>
  <pageSetup scale="96" orientation="landscape" r:id="rId1"/>
  <headerFooter alignWithMargins="0">
    <oddHeader>&amp;C&amp;"Times New Roman,Bold"&amp;11AVAILABILITY ANALYSIS - 08/31/2018
&amp;REXHIBIT 5</oddHeader>
    <oddFooter>&amp;RUpdated: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52" zoomScaleNormal="100" workbookViewId="0">
      <selection activeCell="D66" sqref="D66"/>
    </sheetView>
  </sheetViews>
  <sheetFormatPr defaultColWidth="9.33203125" defaultRowHeight="15" customHeight="1" x14ac:dyDescent="0.2"/>
  <cols>
    <col min="1" max="1" width="41.6640625" style="1" customWidth="1"/>
    <col min="2" max="2" width="9.83203125" style="1" bestFit="1" customWidth="1"/>
    <col min="3" max="3" width="10.1640625" style="1" customWidth="1"/>
    <col min="4" max="4" width="11" style="1" bestFit="1" customWidth="1"/>
    <col min="5" max="5" width="10.1640625" style="1" customWidth="1"/>
    <col min="6" max="6" width="8.33203125" style="1" customWidth="1"/>
    <col min="7" max="9" width="10.1640625" style="1" bestFit="1" customWidth="1"/>
    <col min="10" max="10" width="8.1640625" style="1" customWidth="1"/>
    <col min="11" max="13" width="10.1640625" style="1" bestFit="1" customWidth="1"/>
    <col min="14" max="16384" width="9.33203125" style="1"/>
  </cols>
  <sheetData>
    <row r="1" spans="1:13" ht="15" customHeight="1" x14ac:dyDescent="0.2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" customHeight="1" x14ac:dyDescent="0.2">
      <c r="A2" s="46" t="s">
        <v>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 customHeight="1" x14ac:dyDescent="0.2">
      <c r="B4" s="46" t="s">
        <v>11</v>
      </c>
      <c r="C4" s="46"/>
      <c r="D4" s="46"/>
      <c r="E4" s="46"/>
      <c r="F4" s="46" t="s">
        <v>10</v>
      </c>
      <c r="G4" s="46"/>
      <c r="H4" s="46"/>
      <c r="I4" s="46"/>
      <c r="J4" s="46"/>
      <c r="K4" s="46"/>
      <c r="L4" s="46"/>
      <c r="M4" s="46"/>
    </row>
    <row r="5" spans="1:13" ht="15" customHeight="1" x14ac:dyDescent="0.2">
      <c r="B5" s="46" t="s">
        <v>9</v>
      </c>
      <c r="C5" s="46"/>
      <c r="D5" s="46"/>
      <c r="E5" s="46"/>
      <c r="F5" s="46" t="s">
        <v>23</v>
      </c>
      <c r="G5" s="46"/>
      <c r="H5" s="46"/>
      <c r="I5" s="46"/>
      <c r="J5" s="46" t="s">
        <v>19</v>
      </c>
      <c r="K5" s="46"/>
      <c r="L5" s="46"/>
      <c r="M5" s="46"/>
    </row>
    <row r="6" spans="1:13" s="4" customFormat="1" ht="15" customHeight="1" x14ac:dyDescent="0.2">
      <c r="A6" s="2" t="s">
        <v>1</v>
      </c>
      <c r="B6" s="3" t="s">
        <v>8</v>
      </c>
      <c r="C6" s="3" t="s">
        <v>3</v>
      </c>
      <c r="D6" s="3" t="s">
        <v>55</v>
      </c>
      <c r="E6" s="3" t="s">
        <v>4</v>
      </c>
      <c r="F6" s="3" t="s">
        <v>8</v>
      </c>
      <c r="G6" s="3" t="s">
        <v>3</v>
      </c>
      <c r="H6" s="3" t="s">
        <v>55</v>
      </c>
      <c r="I6" s="3" t="s">
        <v>4</v>
      </c>
      <c r="J6" s="3" t="s">
        <v>8</v>
      </c>
      <c r="K6" s="3" t="s">
        <v>3</v>
      </c>
      <c r="L6" s="3" t="s">
        <v>55</v>
      </c>
      <c r="M6" s="3" t="s">
        <v>4</v>
      </c>
    </row>
    <row r="7" spans="1:13" ht="15" customHeight="1" x14ac:dyDescent="0.2">
      <c r="A7" s="5" t="s">
        <v>24</v>
      </c>
      <c r="B7" s="6">
        <f>SUM(B8:B11)</f>
        <v>5</v>
      </c>
      <c r="C7" s="6">
        <f>SUM(C8:C11)</f>
        <v>1</v>
      </c>
      <c r="D7" s="6">
        <f>SUM(D8:D11)</f>
        <v>1</v>
      </c>
      <c r="E7" s="6">
        <f>SUM(E8:E11)</f>
        <v>5</v>
      </c>
      <c r="F7" s="6">
        <v>1510</v>
      </c>
      <c r="G7" s="6">
        <v>285</v>
      </c>
      <c r="H7" s="6">
        <v>319</v>
      </c>
      <c r="I7" s="6">
        <v>1295</v>
      </c>
      <c r="J7" s="6">
        <v>1780</v>
      </c>
      <c r="K7" s="6">
        <v>300</v>
      </c>
      <c r="L7" s="6">
        <v>334</v>
      </c>
      <c r="M7" s="6">
        <v>1550</v>
      </c>
    </row>
    <row r="8" spans="1:13" ht="15" customHeight="1" x14ac:dyDescent="0.2">
      <c r="A8" s="7" t="s">
        <v>317</v>
      </c>
      <c r="B8" s="6">
        <v>2</v>
      </c>
      <c r="C8" s="6">
        <v>1</v>
      </c>
      <c r="D8" s="6">
        <v>1</v>
      </c>
      <c r="E8" s="6">
        <v>2</v>
      </c>
      <c r="F8" s="6"/>
      <c r="G8" s="6"/>
      <c r="H8" s="6"/>
      <c r="I8" s="6"/>
      <c r="J8" s="6"/>
      <c r="K8" s="6"/>
      <c r="L8" s="6"/>
      <c r="M8" s="6"/>
    </row>
    <row r="9" spans="1:13" ht="15" customHeight="1" x14ac:dyDescent="0.2">
      <c r="A9" s="7" t="s">
        <v>483</v>
      </c>
      <c r="B9" s="6">
        <v>1</v>
      </c>
      <c r="C9" s="6"/>
      <c r="D9" s="6"/>
      <c r="E9" s="6">
        <v>1</v>
      </c>
      <c r="F9" s="6"/>
      <c r="G9" s="6"/>
      <c r="H9" s="6"/>
      <c r="I9" s="6"/>
      <c r="J9" s="6"/>
      <c r="K9" s="6"/>
      <c r="L9" s="6"/>
      <c r="M9" s="6"/>
    </row>
    <row r="10" spans="1:13" ht="15" customHeight="1" x14ac:dyDescent="0.2">
      <c r="A10" s="7" t="s">
        <v>520</v>
      </c>
      <c r="B10" s="6">
        <v>1</v>
      </c>
      <c r="C10" s="6"/>
      <c r="D10" s="6"/>
      <c r="E10" s="6">
        <v>1</v>
      </c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">
      <c r="A11" s="7" t="s">
        <v>76</v>
      </c>
      <c r="B11" s="6">
        <v>1</v>
      </c>
      <c r="C11" s="6"/>
      <c r="D11" s="6"/>
      <c r="E11" s="6">
        <v>1</v>
      </c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2">
      <c r="A12" s="8" t="s">
        <v>13</v>
      </c>
      <c r="B12" s="9"/>
      <c r="C12" s="10">
        <f>+C7/B7</f>
        <v>0.2</v>
      </c>
      <c r="D12" s="10">
        <f>+D7/B7</f>
        <v>0.2</v>
      </c>
      <c r="E12" s="10">
        <f>+E7/B7</f>
        <v>1</v>
      </c>
      <c r="F12" s="9"/>
      <c r="G12" s="10">
        <f>(G7/F7)*0.3</f>
        <v>5.6622516556291386E-2</v>
      </c>
      <c r="H12" s="10">
        <f>(H7/F7)*0.3</f>
        <v>6.337748344370861E-2</v>
      </c>
      <c r="I12" s="10">
        <f>+(I7/F7)*0.3</f>
        <v>0.25728476821192053</v>
      </c>
      <c r="J12" s="9"/>
      <c r="K12" s="10">
        <f>+(K7/J7)*0.2</f>
        <v>3.3707865168539325E-2</v>
      </c>
      <c r="L12" s="10">
        <f>+(L7/J7)*0.2</f>
        <v>3.7528089887640448E-2</v>
      </c>
      <c r="M12" s="10">
        <f>+(M7/J7)*0.2</f>
        <v>0.17415730337078653</v>
      </c>
    </row>
    <row r="13" spans="1:13" ht="15" customHeight="1" x14ac:dyDescent="0.2">
      <c r="A13" s="12" t="s">
        <v>110</v>
      </c>
      <c r="B13" s="1">
        <f>SUM(B14:B14)</f>
        <v>1</v>
      </c>
      <c r="C13" s="1">
        <f>SUM(C14:C14)</f>
        <v>0</v>
      </c>
      <c r="D13" s="1">
        <f>SUM(D14:D14)</f>
        <v>0</v>
      </c>
      <c r="E13" s="1">
        <f>SUM(E14:E14)</f>
        <v>0</v>
      </c>
      <c r="F13" s="1">
        <v>120</v>
      </c>
      <c r="G13" s="1">
        <v>25</v>
      </c>
      <c r="H13" s="1">
        <v>25</v>
      </c>
      <c r="I13" s="1">
        <v>110</v>
      </c>
      <c r="J13" s="1">
        <v>135</v>
      </c>
      <c r="K13" s="1">
        <v>25</v>
      </c>
      <c r="L13" s="1">
        <v>25</v>
      </c>
      <c r="M13" s="1">
        <v>125</v>
      </c>
    </row>
    <row r="14" spans="1:13" ht="15" customHeight="1" x14ac:dyDescent="0.2">
      <c r="A14" s="7" t="s">
        <v>80</v>
      </c>
      <c r="B14" s="6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">
      <c r="A15" s="8" t="s">
        <v>13</v>
      </c>
      <c r="B15" s="14"/>
      <c r="C15" s="14">
        <f>+C13/B13</f>
        <v>0</v>
      </c>
      <c r="D15" s="14">
        <f>+D13/B13</f>
        <v>0</v>
      </c>
      <c r="E15" s="14">
        <f>+E13/B13</f>
        <v>0</v>
      </c>
      <c r="F15" s="14"/>
      <c r="G15" s="14">
        <f>+(G13/F13)*0.3</f>
        <v>6.25E-2</v>
      </c>
      <c r="H15" s="14">
        <f>+(H13/F13)*0.3</f>
        <v>6.25E-2</v>
      </c>
      <c r="I15" s="14">
        <f>+(I13/F13)*0.3</f>
        <v>0.27499999999999997</v>
      </c>
      <c r="J15" s="14"/>
      <c r="K15" s="14">
        <f>+(K13/J13)*0.2</f>
        <v>3.7037037037037035E-2</v>
      </c>
      <c r="L15" s="14">
        <f>+(L13/J13)*0.2</f>
        <v>3.7037037037037035E-2</v>
      </c>
      <c r="M15" s="14">
        <f>+(M13/J13)*0.2</f>
        <v>0.1851851851851852</v>
      </c>
    </row>
    <row r="16" spans="1:13" ht="15" customHeight="1" x14ac:dyDescent="0.2">
      <c r="A16" s="5" t="s">
        <v>109</v>
      </c>
      <c r="B16" s="6">
        <f>SUM(B17:B19)</f>
        <v>3</v>
      </c>
      <c r="C16" s="6">
        <f>SUM(C17:C19)</f>
        <v>0</v>
      </c>
      <c r="D16" s="6">
        <f>SUM(D17:D19)</f>
        <v>0</v>
      </c>
      <c r="E16" s="6">
        <f>SUM(E17:E19)</f>
        <v>3</v>
      </c>
      <c r="F16" s="6">
        <v>65</v>
      </c>
      <c r="G16" s="6">
        <v>15</v>
      </c>
      <c r="H16" s="6">
        <v>19</v>
      </c>
      <c r="I16" s="6">
        <v>65</v>
      </c>
      <c r="J16" s="6">
        <v>69</v>
      </c>
      <c r="K16" s="6">
        <v>15</v>
      </c>
      <c r="L16" s="6">
        <v>19</v>
      </c>
      <c r="M16" s="6">
        <v>69</v>
      </c>
    </row>
    <row r="17" spans="1:13" ht="15" customHeight="1" x14ac:dyDescent="0.2">
      <c r="A17" s="7" t="s">
        <v>81</v>
      </c>
      <c r="B17" s="6">
        <v>1</v>
      </c>
      <c r="C17" s="6"/>
      <c r="D17" s="6"/>
      <c r="E17" s="6">
        <v>1</v>
      </c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2">
      <c r="A18" s="7" t="s">
        <v>391</v>
      </c>
      <c r="B18" s="1">
        <v>1</v>
      </c>
      <c r="E18" s="1">
        <v>1</v>
      </c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2">
      <c r="A19" s="7" t="s">
        <v>77</v>
      </c>
      <c r="B19" s="1">
        <v>1</v>
      </c>
      <c r="E19" s="1">
        <v>1</v>
      </c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2">
      <c r="A20" s="8" t="s">
        <v>13</v>
      </c>
      <c r="B20" s="9"/>
      <c r="C20" s="10">
        <f>+C16/B16</f>
        <v>0</v>
      </c>
      <c r="D20" s="10">
        <f>+D16/B16</f>
        <v>0</v>
      </c>
      <c r="E20" s="10">
        <f>+E16/B16</f>
        <v>1</v>
      </c>
      <c r="F20" s="9"/>
      <c r="G20" s="10">
        <v>0</v>
      </c>
      <c r="H20" s="10">
        <v>0</v>
      </c>
      <c r="I20" s="10">
        <f>+(I16/F16)*0.3</f>
        <v>0.3</v>
      </c>
      <c r="J20" s="9"/>
      <c r="K20" s="10">
        <f>+(K16/J16)*0.5</f>
        <v>0.10869565217391304</v>
      </c>
      <c r="L20" s="10">
        <f>+(L16/J16)*0.5</f>
        <v>0.13768115942028986</v>
      </c>
      <c r="M20" s="10">
        <f>+(M16/J16)*0.5</f>
        <v>0.5</v>
      </c>
    </row>
    <row r="21" spans="1:13" ht="15" customHeight="1" x14ac:dyDescent="0.2">
      <c r="A21" s="12" t="s">
        <v>353</v>
      </c>
      <c r="B21" s="1">
        <f>SUM(B22:B22)</f>
        <v>1</v>
      </c>
      <c r="C21" s="1">
        <f>SUM(C22:C22)</f>
        <v>0</v>
      </c>
      <c r="D21" s="1">
        <f>SUM(D22:D22)</f>
        <v>0</v>
      </c>
      <c r="E21" s="1">
        <f>SUM(E22:E22)</f>
        <v>1</v>
      </c>
      <c r="F21" s="1">
        <v>3890</v>
      </c>
      <c r="G21" s="1">
        <v>1470</v>
      </c>
      <c r="H21" s="1">
        <v>1865</v>
      </c>
      <c r="I21" s="1">
        <v>2960</v>
      </c>
      <c r="J21" s="1">
        <v>4255</v>
      </c>
      <c r="K21" s="1">
        <v>1495</v>
      </c>
      <c r="L21" s="1">
        <v>1865</v>
      </c>
      <c r="M21" s="1">
        <v>3295</v>
      </c>
    </row>
    <row r="22" spans="1:13" ht="15" customHeight="1" x14ac:dyDescent="0.2">
      <c r="A22" s="7" t="s">
        <v>354</v>
      </c>
      <c r="B22" s="6">
        <v>1</v>
      </c>
      <c r="C22" s="6"/>
      <c r="D22" s="6"/>
      <c r="E22" s="6">
        <v>1</v>
      </c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">
      <c r="A23" s="8" t="s">
        <v>13</v>
      </c>
      <c r="B23" s="14"/>
      <c r="C23" s="14">
        <f>+C21/B21</f>
        <v>0</v>
      </c>
      <c r="D23" s="14">
        <f>+D21/B21</f>
        <v>0</v>
      </c>
      <c r="E23" s="14">
        <f>+E21/B21</f>
        <v>1</v>
      </c>
      <c r="F23" s="14"/>
      <c r="G23" s="14">
        <f>+(G21/F21)*0.3</f>
        <v>0.11336760925449871</v>
      </c>
      <c r="H23" s="14">
        <f>+(H21/F21)*0.3</f>
        <v>0.14383033419023136</v>
      </c>
      <c r="I23" s="14">
        <f>+(I21/F21)*0.3</f>
        <v>0.22827763496143957</v>
      </c>
      <c r="J23" s="14"/>
      <c r="K23" s="14">
        <f>+(K21/J21)*0.2</f>
        <v>7.0270270270270274E-2</v>
      </c>
      <c r="L23" s="14">
        <f>+(L21/J21)*0.2</f>
        <v>8.7661574618096372E-2</v>
      </c>
      <c r="M23" s="14">
        <f>+(M21/J21)*0.2</f>
        <v>0.15487661574618097</v>
      </c>
    </row>
    <row r="24" spans="1:13" ht="24" customHeight="1" x14ac:dyDescent="0.2">
      <c r="A24" s="29" t="s">
        <v>269</v>
      </c>
      <c r="B24" s="6">
        <f>SUM(B25:B25)</f>
        <v>1</v>
      </c>
      <c r="C24" s="6">
        <f>SUM(C25:C25)</f>
        <v>0</v>
      </c>
      <c r="D24" s="6">
        <f>SUM(D25:D25)</f>
        <v>0</v>
      </c>
      <c r="E24" s="6">
        <f>SUM(E25:E25)</f>
        <v>1</v>
      </c>
      <c r="F24" s="6">
        <v>105</v>
      </c>
      <c r="G24" s="6">
        <v>35</v>
      </c>
      <c r="H24" s="6">
        <v>35</v>
      </c>
      <c r="I24" s="6">
        <v>45</v>
      </c>
      <c r="J24" s="6">
        <v>105</v>
      </c>
      <c r="K24" s="6">
        <v>35</v>
      </c>
      <c r="L24" s="6">
        <v>35</v>
      </c>
      <c r="M24" s="6">
        <v>45</v>
      </c>
    </row>
    <row r="25" spans="1:13" ht="15" customHeight="1" x14ac:dyDescent="0.2">
      <c r="A25" s="7" t="s">
        <v>319</v>
      </c>
      <c r="B25" s="6">
        <v>1</v>
      </c>
      <c r="C25" s="6"/>
      <c r="D25" s="6"/>
      <c r="E25" s="6">
        <v>1</v>
      </c>
      <c r="F25" s="6"/>
      <c r="G25" s="6"/>
      <c r="H25" s="6"/>
      <c r="I25" s="6"/>
      <c r="J25" s="6"/>
      <c r="K25" s="6"/>
      <c r="L25" s="6"/>
      <c r="M25" s="6"/>
    </row>
    <row r="26" spans="1:13" ht="15" customHeight="1" x14ac:dyDescent="0.2">
      <c r="A26" s="8" t="s">
        <v>13</v>
      </c>
      <c r="B26" s="9"/>
      <c r="C26" s="10">
        <f>+C24/B24</f>
        <v>0</v>
      </c>
      <c r="D26" s="10">
        <f>+D24/B24</f>
        <v>0</v>
      </c>
      <c r="E26" s="10">
        <f>+E24/B24</f>
        <v>1</v>
      </c>
      <c r="F26" s="9"/>
      <c r="G26" s="10">
        <f>(G24/F24)*0.3</f>
        <v>9.9999999999999992E-2</v>
      </c>
      <c r="H26" s="10">
        <f>(H24/F24)*0.3</f>
        <v>9.9999999999999992E-2</v>
      </c>
      <c r="I26" s="10">
        <f>+(I24/F24)*0.3</f>
        <v>0.12857142857142856</v>
      </c>
      <c r="J26" s="9"/>
      <c r="K26" s="10">
        <f>+(K24/J24)*0.2</f>
        <v>6.6666666666666666E-2</v>
      </c>
      <c r="L26" s="10">
        <f>+(L24/J24)*0.2</f>
        <v>6.6666666666666666E-2</v>
      </c>
      <c r="M26" s="10">
        <f>+(M24/J24)*0.2</f>
        <v>8.5714285714285715E-2</v>
      </c>
    </row>
    <row r="27" spans="1:13" ht="15" customHeight="1" x14ac:dyDescent="0.2">
      <c r="A27" s="12" t="s">
        <v>128</v>
      </c>
      <c r="B27" s="1">
        <f>SUM(B28:B36)</f>
        <v>10</v>
      </c>
      <c r="C27" s="1">
        <f>SUM(C28:C36)</f>
        <v>1</v>
      </c>
      <c r="D27" s="1">
        <f>SUM(D28:D36)</f>
        <v>2</v>
      </c>
      <c r="E27" s="1">
        <f>SUM(E28:E36)</f>
        <v>8</v>
      </c>
      <c r="F27" s="1">
        <v>580</v>
      </c>
      <c r="G27" s="1">
        <v>85</v>
      </c>
      <c r="H27" s="1">
        <v>110</v>
      </c>
      <c r="I27" s="1">
        <v>375</v>
      </c>
      <c r="J27" s="1">
        <v>590</v>
      </c>
      <c r="K27" s="1">
        <v>85</v>
      </c>
      <c r="L27" s="1">
        <v>110</v>
      </c>
      <c r="M27" s="1">
        <v>385</v>
      </c>
    </row>
    <row r="28" spans="1:13" ht="15" customHeight="1" x14ac:dyDescent="0.2">
      <c r="A28" s="24" t="s">
        <v>521</v>
      </c>
      <c r="B28" s="6">
        <v>2</v>
      </c>
      <c r="C28" s="6"/>
      <c r="D28" s="6"/>
      <c r="E28" s="6">
        <v>2</v>
      </c>
      <c r="F28" s="6"/>
      <c r="G28" s="6"/>
      <c r="H28" s="6"/>
      <c r="I28" s="6"/>
      <c r="J28" s="6"/>
      <c r="K28" s="6"/>
      <c r="L28" s="6"/>
      <c r="M28" s="6"/>
    </row>
    <row r="29" spans="1:13" ht="15" customHeight="1" x14ac:dyDescent="0.2">
      <c r="A29" s="7" t="s">
        <v>357</v>
      </c>
      <c r="B29" s="6">
        <v>1</v>
      </c>
      <c r="C29" s="6">
        <v>1</v>
      </c>
      <c r="D29" s="6">
        <v>1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15" customHeight="1" x14ac:dyDescent="0.2">
      <c r="A30" s="7" t="s">
        <v>392</v>
      </c>
      <c r="B30" s="6">
        <v>1</v>
      </c>
      <c r="C30" s="6"/>
      <c r="D30" s="6">
        <v>1</v>
      </c>
      <c r="E30" s="6">
        <v>1</v>
      </c>
      <c r="F30" s="6"/>
      <c r="G30" s="6"/>
      <c r="H30" s="6"/>
      <c r="I30" s="6"/>
      <c r="J30" s="6"/>
      <c r="K30" s="6"/>
      <c r="L30" s="6"/>
      <c r="M30" s="6"/>
    </row>
    <row r="31" spans="1:13" ht="15" customHeight="1" x14ac:dyDescent="0.2">
      <c r="A31" s="24" t="s">
        <v>482</v>
      </c>
      <c r="B31" s="6">
        <v>1</v>
      </c>
      <c r="C31" s="6"/>
      <c r="D31" s="6"/>
      <c r="E31" s="6">
        <v>1</v>
      </c>
      <c r="F31" s="6"/>
      <c r="G31" s="6"/>
      <c r="H31" s="6"/>
      <c r="I31" s="6"/>
      <c r="J31" s="6"/>
      <c r="K31" s="6"/>
      <c r="L31" s="6"/>
      <c r="M31" s="6"/>
    </row>
    <row r="32" spans="1:13" ht="15" customHeight="1" x14ac:dyDescent="0.2">
      <c r="A32" s="7" t="s">
        <v>320</v>
      </c>
      <c r="B32" s="6">
        <v>1</v>
      </c>
      <c r="C32" s="6"/>
      <c r="D32" s="6"/>
      <c r="E32" s="6">
        <v>1</v>
      </c>
      <c r="F32" s="6"/>
      <c r="G32" s="6"/>
      <c r="H32" s="6"/>
      <c r="I32" s="6"/>
      <c r="J32" s="6"/>
      <c r="K32" s="6"/>
      <c r="L32" s="6"/>
      <c r="M32" s="6"/>
    </row>
    <row r="33" spans="1:13" ht="15" customHeight="1" x14ac:dyDescent="0.2">
      <c r="A33" s="7" t="s">
        <v>479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5" customHeight="1" x14ac:dyDescent="0.2">
      <c r="A34" s="7" t="s">
        <v>322</v>
      </c>
      <c r="B34" s="6">
        <v>1</v>
      </c>
      <c r="C34" s="6"/>
      <c r="D34" s="6"/>
      <c r="E34" s="6">
        <v>1</v>
      </c>
      <c r="F34" s="6"/>
      <c r="G34" s="6"/>
      <c r="H34" s="6"/>
      <c r="I34" s="6"/>
      <c r="J34" s="6"/>
      <c r="K34" s="6"/>
      <c r="L34" s="6"/>
      <c r="M34" s="6"/>
    </row>
    <row r="35" spans="1:13" ht="15" customHeight="1" x14ac:dyDescent="0.2">
      <c r="A35" s="7" t="s">
        <v>34</v>
      </c>
      <c r="B35" s="6">
        <v>1</v>
      </c>
      <c r="C35" s="6"/>
      <c r="D35" s="6"/>
      <c r="E35" s="6">
        <v>1</v>
      </c>
      <c r="F35" s="6"/>
      <c r="G35" s="6"/>
      <c r="H35" s="6"/>
      <c r="I35" s="6"/>
      <c r="J35" s="6"/>
      <c r="K35" s="6"/>
      <c r="L35" s="6"/>
      <c r="M35" s="6"/>
    </row>
    <row r="36" spans="1:13" ht="15" customHeight="1" x14ac:dyDescent="0.2">
      <c r="A36" s="7" t="s">
        <v>223</v>
      </c>
      <c r="B36" s="6">
        <v>1</v>
      </c>
      <c r="C36" s="6"/>
      <c r="D36" s="6"/>
      <c r="E36" s="6">
        <v>1</v>
      </c>
      <c r="F36" s="6"/>
      <c r="G36" s="6"/>
      <c r="H36" s="6"/>
      <c r="I36" s="6"/>
      <c r="J36" s="6"/>
      <c r="K36" s="6"/>
      <c r="L36" s="6"/>
      <c r="M36" s="6"/>
    </row>
    <row r="37" spans="1:13" ht="15" customHeight="1" x14ac:dyDescent="0.2">
      <c r="A37" s="8" t="s">
        <v>13</v>
      </c>
      <c r="B37" s="14"/>
      <c r="C37" s="14">
        <f>+C27/B27</f>
        <v>0.1</v>
      </c>
      <c r="D37" s="14">
        <f>+D27/B27</f>
        <v>0.2</v>
      </c>
      <c r="E37" s="14">
        <f>+E27/B27</f>
        <v>0.8</v>
      </c>
      <c r="F37" s="14"/>
      <c r="G37" s="14">
        <f>+(G27/F27)*0.3</f>
        <v>4.3965517241379308E-2</v>
      </c>
      <c r="H37" s="14">
        <f>+(H27/F27)*0.3</f>
        <v>5.6896551724137927E-2</v>
      </c>
      <c r="I37" s="14">
        <f>+(I27/F27)*0.3</f>
        <v>0.19396551724137931</v>
      </c>
      <c r="J37" s="14"/>
      <c r="K37" s="14">
        <f>+(K27/J27)*0.2</f>
        <v>2.8813559322033902E-2</v>
      </c>
      <c r="L37" s="14">
        <f>+(L27/J27)*0.2</f>
        <v>3.7288135593220341E-2</v>
      </c>
      <c r="M37" s="14">
        <f>+(M27/J27)*0.2</f>
        <v>0.13050847457627121</v>
      </c>
    </row>
    <row r="38" spans="1:13" ht="15" customHeight="1" x14ac:dyDescent="0.2">
      <c r="A38" s="12" t="s">
        <v>340</v>
      </c>
      <c r="B38" s="1">
        <f>SUM(B39:B40)</f>
        <v>9</v>
      </c>
      <c r="C38" s="1">
        <f>SUM(C39:C40)</f>
        <v>4</v>
      </c>
      <c r="D38" s="1">
        <f>SUM(D39:D40)</f>
        <v>5</v>
      </c>
      <c r="E38" s="1">
        <f>SUM(E39:E40)</f>
        <v>9</v>
      </c>
      <c r="F38" s="1">
        <v>10005</v>
      </c>
      <c r="G38" s="1">
        <v>3115</v>
      </c>
      <c r="H38" s="1">
        <v>3249</v>
      </c>
      <c r="I38" s="1">
        <v>9860</v>
      </c>
      <c r="J38" s="1">
        <v>790</v>
      </c>
      <c r="K38" s="1">
        <v>205</v>
      </c>
      <c r="L38" s="1">
        <v>265</v>
      </c>
      <c r="M38" s="1">
        <v>790</v>
      </c>
    </row>
    <row r="39" spans="1:13" ht="15" customHeight="1" x14ac:dyDescent="0.2">
      <c r="A39" s="7" t="s">
        <v>390</v>
      </c>
      <c r="B39" s="1">
        <v>1</v>
      </c>
      <c r="C39" s="1">
        <v>1</v>
      </c>
      <c r="D39" s="1">
        <v>1</v>
      </c>
      <c r="E39" s="1">
        <v>1</v>
      </c>
    </row>
    <row r="40" spans="1:13" ht="15" customHeight="1" x14ac:dyDescent="0.2">
      <c r="A40" s="7" t="s">
        <v>480</v>
      </c>
      <c r="B40" s="6">
        <v>8</v>
      </c>
      <c r="C40" s="6">
        <v>3</v>
      </c>
      <c r="D40" s="6">
        <v>4</v>
      </c>
      <c r="E40" s="6">
        <v>8</v>
      </c>
      <c r="F40" s="6"/>
      <c r="G40" s="6"/>
      <c r="H40" s="6"/>
      <c r="I40" s="6"/>
      <c r="J40" s="6"/>
      <c r="K40" s="6"/>
      <c r="L40" s="6"/>
      <c r="M40" s="6"/>
    </row>
    <row r="41" spans="1:13" ht="15" customHeight="1" x14ac:dyDescent="0.2">
      <c r="A41" s="8" t="s">
        <v>13</v>
      </c>
      <c r="B41" s="14"/>
      <c r="C41" s="14">
        <f>+C38/B38</f>
        <v>0.44444444444444442</v>
      </c>
      <c r="D41" s="14">
        <f>+D38/B38</f>
        <v>0.55555555555555558</v>
      </c>
      <c r="E41" s="14">
        <f>+E38/B38</f>
        <v>1</v>
      </c>
      <c r="F41" s="14"/>
      <c r="G41" s="14">
        <f>+(G38/F38)*0.4</f>
        <v>0.12453773113443278</v>
      </c>
      <c r="H41" s="14">
        <f>+(H38/F38)*0.4</f>
        <v>0.12989505247376312</v>
      </c>
      <c r="I41" s="14">
        <f>+(I38/F38)*0.4</f>
        <v>0.39420289855072466</v>
      </c>
      <c r="J41" s="14"/>
      <c r="K41" s="14">
        <f>+(K38/J38)*0.4</f>
        <v>0.10379746835443038</v>
      </c>
      <c r="L41" s="14">
        <f>+(L38/J38)*0.4</f>
        <v>0.13417721518987344</v>
      </c>
      <c r="M41" s="14">
        <f>+(M38/J38)*0.4</f>
        <v>0.4</v>
      </c>
    </row>
    <row r="42" spans="1:13" ht="15" customHeight="1" x14ac:dyDescent="0.2">
      <c r="A42" s="18" t="s">
        <v>356</v>
      </c>
      <c r="B42" s="6">
        <f>SUM(B43:B43)</f>
        <v>1</v>
      </c>
      <c r="C42" s="6">
        <f>SUM(C43:C43)</f>
        <v>1</v>
      </c>
      <c r="D42" s="6">
        <f>SUM(D43:D43)</f>
        <v>1</v>
      </c>
      <c r="E42" s="6">
        <f>SUM(E43:E43)</f>
        <v>1</v>
      </c>
      <c r="F42" s="6">
        <v>1400</v>
      </c>
      <c r="G42" s="6">
        <v>250</v>
      </c>
      <c r="H42" s="6">
        <v>345</v>
      </c>
      <c r="I42" s="6">
        <v>1265</v>
      </c>
      <c r="J42" s="6">
        <v>1545</v>
      </c>
      <c r="K42" s="6">
        <v>265</v>
      </c>
      <c r="L42" s="6">
        <v>345</v>
      </c>
      <c r="M42" s="6">
        <v>1385</v>
      </c>
    </row>
    <row r="43" spans="1:13" ht="15" customHeight="1" x14ac:dyDescent="0.2">
      <c r="A43" s="7" t="s">
        <v>355</v>
      </c>
      <c r="B43" s="6">
        <v>1</v>
      </c>
      <c r="C43" s="6">
        <v>1</v>
      </c>
      <c r="D43" s="6">
        <v>1</v>
      </c>
      <c r="E43" s="6">
        <v>1</v>
      </c>
      <c r="F43" s="6"/>
      <c r="G43" s="6"/>
      <c r="H43" s="6"/>
      <c r="I43" s="6"/>
      <c r="J43" s="6"/>
      <c r="K43" s="6"/>
      <c r="L43" s="6"/>
      <c r="M43" s="6"/>
    </row>
    <row r="44" spans="1:13" ht="15" customHeight="1" x14ac:dyDescent="0.2">
      <c r="A44" s="8" t="s">
        <v>13</v>
      </c>
      <c r="B44" s="10"/>
      <c r="C44" s="10">
        <f>+C42/B42</f>
        <v>1</v>
      </c>
      <c r="D44" s="10">
        <f>+D42/B42</f>
        <v>1</v>
      </c>
      <c r="E44" s="10">
        <f>+E42/B42</f>
        <v>1</v>
      </c>
      <c r="F44" s="10"/>
      <c r="G44" s="10">
        <f>+(G42/F42)*0.3</f>
        <v>5.3571428571428568E-2</v>
      </c>
      <c r="H44" s="10">
        <f>+(H42/F42)*0.3</f>
        <v>7.3928571428571427E-2</v>
      </c>
      <c r="I44" s="10">
        <f>+(I42/F42)*0.3</f>
        <v>0.27107142857142857</v>
      </c>
      <c r="J44" s="10"/>
      <c r="K44" s="10">
        <f>+(K42/J42)*0.2</f>
        <v>3.4304207119741102E-2</v>
      </c>
      <c r="L44" s="10">
        <f>+(L42/J42)*0.2</f>
        <v>4.4660194174757285E-2</v>
      </c>
      <c r="M44" s="10">
        <f>+(M42/J42)*0.2</f>
        <v>0.17928802588996764</v>
      </c>
    </row>
    <row r="45" spans="1:13" ht="15" customHeight="1" x14ac:dyDescent="0.2">
      <c r="A45" s="18" t="s">
        <v>112</v>
      </c>
      <c r="B45" s="6">
        <f>SUM(B46:B46)</f>
        <v>2</v>
      </c>
      <c r="C45" s="6">
        <f>SUM(C46:C46)</f>
        <v>0</v>
      </c>
      <c r="D45" s="6">
        <f>SUM(D46:D46)</f>
        <v>1</v>
      </c>
      <c r="E45" s="6">
        <f>SUM(E46:E46)</f>
        <v>2</v>
      </c>
      <c r="F45" s="6">
        <v>4685</v>
      </c>
      <c r="G45" s="6">
        <v>884</v>
      </c>
      <c r="H45" s="6">
        <v>1139</v>
      </c>
      <c r="I45" s="6">
        <v>4525</v>
      </c>
      <c r="J45" s="6">
        <v>5210</v>
      </c>
      <c r="K45" s="6">
        <v>899</v>
      </c>
      <c r="L45" s="6">
        <v>1189</v>
      </c>
      <c r="M45" s="6">
        <v>5050</v>
      </c>
    </row>
    <row r="46" spans="1:13" ht="15" customHeight="1" x14ac:dyDescent="0.2">
      <c r="A46" s="7" t="s">
        <v>321</v>
      </c>
      <c r="B46" s="6">
        <v>2</v>
      </c>
      <c r="C46" s="6"/>
      <c r="D46" s="6">
        <v>1</v>
      </c>
      <c r="E46" s="6">
        <v>2</v>
      </c>
      <c r="F46" s="6"/>
      <c r="G46" s="6"/>
      <c r="H46" s="6"/>
      <c r="I46" s="6"/>
      <c r="J46" s="6"/>
      <c r="K46" s="6"/>
      <c r="L46" s="6"/>
      <c r="M46" s="6"/>
    </row>
    <row r="47" spans="1:13" ht="15" customHeight="1" x14ac:dyDescent="0.2">
      <c r="A47" s="8" t="s">
        <v>13</v>
      </c>
      <c r="B47" s="10"/>
      <c r="C47" s="10">
        <f>+C45/B45</f>
        <v>0</v>
      </c>
      <c r="D47" s="10">
        <f>+D45/B45</f>
        <v>0.5</v>
      </c>
      <c r="E47" s="10">
        <f>+E45/B45</f>
        <v>1</v>
      </c>
      <c r="F47" s="10"/>
      <c r="G47" s="10">
        <f>+(G45/F45)*0.3</f>
        <v>5.6606189967982924E-2</v>
      </c>
      <c r="H47" s="10">
        <f>+(H45/F45)*0.3</f>
        <v>7.2934898612593377E-2</v>
      </c>
      <c r="I47" s="10">
        <f>+(I45/F45)*0.3</f>
        <v>0.28975453575240123</v>
      </c>
      <c r="J47" s="10"/>
      <c r="K47" s="10">
        <f>+(K45/J45)*0.2</f>
        <v>3.4510556621881003E-2</v>
      </c>
      <c r="L47" s="10">
        <f>+(L45/J45)*0.2</f>
        <v>4.5642994241842615E-2</v>
      </c>
      <c r="M47" s="10">
        <f>+(M45/J45)*0.2</f>
        <v>0.19385796545105569</v>
      </c>
    </row>
    <row r="48" spans="1:13" ht="15" customHeight="1" x14ac:dyDescent="0.2">
      <c r="A48" s="18" t="s">
        <v>113</v>
      </c>
      <c r="B48" s="6">
        <f>SUM(B49:B56)</f>
        <v>12</v>
      </c>
      <c r="C48" s="6">
        <f>SUM(C49:C56)</f>
        <v>3</v>
      </c>
      <c r="D48" s="6">
        <f>SUM(D49:D56)</f>
        <v>3</v>
      </c>
      <c r="E48" s="6">
        <f>SUM(E49:E56)</f>
        <v>2</v>
      </c>
      <c r="F48" s="6">
        <v>1050</v>
      </c>
      <c r="G48" s="6">
        <v>205</v>
      </c>
      <c r="H48" s="6">
        <v>260</v>
      </c>
      <c r="I48" s="6">
        <v>340</v>
      </c>
      <c r="J48" s="6">
        <v>1125</v>
      </c>
      <c r="K48" s="6">
        <v>220</v>
      </c>
      <c r="L48" s="6">
        <v>275</v>
      </c>
      <c r="M48" s="6">
        <v>375</v>
      </c>
    </row>
    <row r="49" spans="1:13" ht="15" customHeight="1" x14ac:dyDescent="0.2">
      <c r="A49" s="7" t="s">
        <v>318</v>
      </c>
      <c r="B49" s="6">
        <v>2</v>
      </c>
      <c r="C49" s="6"/>
      <c r="D49" s="6"/>
      <c r="E49" s="6">
        <v>1</v>
      </c>
      <c r="F49" s="6"/>
      <c r="G49" s="6"/>
      <c r="H49" s="6"/>
      <c r="I49" s="6"/>
      <c r="J49" s="6"/>
      <c r="K49" s="6"/>
      <c r="L49" s="6"/>
      <c r="M49" s="6"/>
    </row>
    <row r="50" spans="1:13" ht="15" customHeight="1" x14ac:dyDescent="0.2">
      <c r="A50" s="7" t="s">
        <v>481</v>
      </c>
      <c r="B50" s="6">
        <v>2</v>
      </c>
      <c r="C50" s="6">
        <v>2</v>
      </c>
      <c r="D50" s="6">
        <v>2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15" customHeight="1" x14ac:dyDescent="0.2">
      <c r="A51" s="7" t="s">
        <v>522</v>
      </c>
      <c r="B51" s="6">
        <v>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5" customHeight="1" x14ac:dyDescent="0.2">
      <c r="A52" s="7" t="s">
        <v>523</v>
      </c>
      <c r="B52" s="6">
        <v>1</v>
      </c>
      <c r="C52" s="6">
        <v>1</v>
      </c>
      <c r="D52" s="6">
        <v>1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 ht="15" customHeight="1" x14ac:dyDescent="0.2">
      <c r="A53" s="7" t="s">
        <v>524</v>
      </c>
      <c r="B53" s="6">
        <v>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5" customHeight="1" x14ac:dyDescent="0.2">
      <c r="A54" s="7" t="s">
        <v>82</v>
      </c>
      <c r="B54" s="6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" customHeight="1" x14ac:dyDescent="0.2">
      <c r="A55" s="7" t="s">
        <v>361</v>
      </c>
      <c r="B55" s="6">
        <v>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" customHeight="1" x14ac:dyDescent="0.2">
      <c r="A56" s="7" t="s">
        <v>251</v>
      </c>
      <c r="B56" s="6">
        <v>1</v>
      </c>
      <c r="C56" s="6"/>
      <c r="D56" s="6"/>
      <c r="E56" s="6">
        <v>1</v>
      </c>
      <c r="F56" s="6"/>
      <c r="G56" s="6"/>
      <c r="H56" s="6"/>
      <c r="I56" s="6"/>
      <c r="J56" s="6"/>
      <c r="K56" s="6"/>
      <c r="L56" s="6"/>
      <c r="M56" s="6"/>
    </row>
    <row r="57" spans="1:13" ht="15" customHeight="1" x14ac:dyDescent="0.2">
      <c r="A57" s="8" t="s">
        <v>13</v>
      </c>
      <c r="B57" s="10"/>
      <c r="C57" s="10">
        <f>+C48/B48</f>
        <v>0.25</v>
      </c>
      <c r="D57" s="10">
        <f>+D48/B48</f>
        <v>0.25</v>
      </c>
      <c r="E57" s="10">
        <f>+E48/B48</f>
        <v>0.16666666666666666</v>
      </c>
      <c r="F57" s="10"/>
      <c r="G57" s="10">
        <f>+(G48/F48)*0.3</f>
        <v>5.8571428571428566E-2</v>
      </c>
      <c r="H57" s="10">
        <f>+(H48/F48)*0.3</f>
        <v>7.4285714285714288E-2</v>
      </c>
      <c r="I57" s="10">
        <f>+(I48/F48)*0.3</f>
        <v>9.7142857142857142E-2</v>
      </c>
      <c r="J57" s="10"/>
      <c r="K57" s="10">
        <f>+(K48/J48)*0.2</f>
        <v>3.9111111111111117E-2</v>
      </c>
      <c r="L57" s="10">
        <f>+(L48/J48)*0.2</f>
        <v>4.8888888888888891E-2</v>
      </c>
      <c r="M57" s="10">
        <f>+(M48/J48)*0.2</f>
        <v>6.6666666666666666E-2</v>
      </c>
    </row>
    <row r="58" spans="1:13" ht="15" customHeight="1" x14ac:dyDescent="0.2">
      <c r="A58" s="2" t="s">
        <v>12</v>
      </c>
      <c r="B58" s="6">
        <f>B48+B45+B42+B38+B27+B24+B21+B16+B13+B7</f>
        <v>45</v>
      </c>
      <c r="C58" s="6">
        <f>+C48+C45+C42+C38+C27+C24+C21+C16+C13+C7</f>
        <v>10</v>
      </c>
      <c r="D58" s="6">
        <f>+D48+D45+D42+D38+D27+D24+D21+D16+D13+D7</f>
        <v>13</v>
      </c>
      <c r="E58" s="6">
        <f>+E48+E45+E42+E38+E27+E24+E21+E16+E13+E7</f>
        <v>32</v>
      </c>
      <c r="F58" s="6">
        <f t="shared" ref="F58:M58" si="0">+F48+F45+F27+F24+F21+F16+F7</f>
        <v>11885</v>
      </c>
      <c r="G58" s="6">
        <f t="shared" si="0"/>
        <v>2979</v>
      </c>
      <c r="H58" s="6">
        <f t="shared" si="0"/>
        <v>3747</v>
      </c>
      <c r="I58" s="6">
        <f t="shared" si="0"/>
        <v>9605</v>
      </c>
      <c r="J58" s="6">
        <f t="shared" si="0"/>
        <v>13134</v>
      </c>
      <c r="K58" s="6">
        <f t="shared" si="0"/>
        <v>3049</v>
      </c>
      <c r="L58" s="6">
        <f t="shared" si="0"/>
        <v>3827</v>
      </c>
      <c r="M58" s="6">
        <f t="shared" si="0"/>
        <v>10769</v>
      </c>
    </row>
    <row r="59" spans="1:13" ht="15" customHeight="1" x14ac:dyDescent="0.2">
      <c r="A59" s="8" t="s">
        <v>13</v>
      </c>
      <c r="B59" s="14"/>
      <c r="C59" s="14">
        <f>+C58/B58</f>
        <v>0.22222222222222221</v>
      </c>
      <c r="D59" s="14">
        <f>+D58/B58</f>
        <v>0.28888888888888886</v>
      </c>
      <c r="E59" s="14">
        <f>+E58/B58</f>
        <v>0.71111111111111114</v>
      </c>
      <c r="F59" s="14"/>
      <c r="G59" s="14">
        <f>+(G58/F58)*0.3</f>
        <v>7.5195624737063524E-2</v>
      </c>
      <c r="H59" s="14">
        <f>+(H58/F58)*0.3</f>
        <v>9.4581405132519974E-2</v>
      </c>
      <c r="I59" s="14">
        <f>+(I58/F58)*0.3</f>
        <v>0.24244846445098861</v>
      </c>
      <c r="J59" s="14"/>
      <c r="K59" s="14">
        <f>+(K58/J58)*0.2</f>
        <v>4.6429115273336381E-2</v>
      </c>
      <c r="L59" s="14">
        <f>+(L58/J58)*0.2</f>
        <v>5.8276229633013557E-2</v>
      </c>
      <c r="M59" s="14">
        <f>+(M58/J58)*0.2</f>
        <v>0.16398659966499163</v>
      </c>
    </row>
    <row r="61" spans="1:13" ht="15" customHeight="1" x14ac:dyDescent="0.2">
      <c r="A61" s="2" t="s">
        <v>14</v>
      </c>
      <c r="B61" s="2" t="s">
        <v>3</v>
      </c>
      <c r="C61" s="2" t="s">
        <v>55</v>
      </c>
      <c r="D61" s="2" t="s">
        <v>4</v>
      </c>
    </row>
    <row r="62" spans="1:13" ht="15" customHeight="1" x14ac:dyDescent="0.2">
      <c r="A62" s="2"/>
      <c r="B62" s="2"/>
      <c r="C62" s="2"/>
      <c r="D62" s="2"/>
    </row>
    <row r="63" spans="1:13" ht="15" customHeight="1" x14ac:dyDescent="0.2">
      <c r="A63" s="1" t="s">
        <v>25</v>
      </c>
      <c r="B63" s="16">
        <f>+G59</f>
        <v>7.5195624737063524E-2</v>
      </c>
      <c r="C63" s="16">
        <f>+H59</f>
        <v>9.4581405132519974E-2</v>
      </c>
      <c r="D63" s="16">
        <f>+I59</f>
        <v>0.24244846445098861</v>
      </c>
    </row>
    <row r="64" spans="1:13" ht="15" customHeight="1" x14ac:dyDescent="0.2">
      <c r="A64" s="1" t="s">
        <v>83</v>
      </c>
      <c r="B64" s="16">
        <f>+K59</f>
        <v>4.6429115273336381E-2</v>
      </c>
      <c r="C64" s="16">
        <f>+L59</f>
        <v>5.8276229633013557E-2</v>
      </c>
      <c r="D64" s="16">
        <f>+M59</f>
        <v>0.16398659966499163</v>
      </c>
    </row>
    <row r="65" spans="1:4" ht="15" customHeight="1" x14ac:dyDescent="0.2">
      <c r="A65" s="1" t="s">
        <v>84</v>
      </c>
      <c r="B65" s="16">
        <v>0.1333</v>
      </c>
      <c r="C65" s="16">
        <v>0.16669999999999999</v>
      </c>
      <c r="D65" s="16">
        <v>0.35560000000000003</v>
      </c>
    </row>
    <row r="66" spans="1:4" ht="15" customHeight="1" x14ac:dyDescent="0.2">
      <c r="A66" s="17" t="s">
        <v>12</v>
      </c>
      <c r="B66" s="14">
        <f>SUM(B63:B65)</f>
        <v>0.25492474001039989</v>
      </c>
      <c r="C66" s="14">
        <f>SUM(C63:C65)</f>
        <v>0.31955763476553356</v>
      </c>
      <c r="D66" s="14">
        <f>SUM(D63:D65)</f>
        <v>0.76203506411598032</v>
      </c>
    </row>
  </sheetData>
  <sortState ref="A49:M56">
    <sortCondition ref="A49:A56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2" type="noConversion"/>
  <printOptions horizontalCentered="1" gridLines="1"/>
  <pageMargins left="0.2" right="0.25" top="1" bottom="0.5" header="0.5" footer="0.3"/>
  <pageSetup scale="93" fitToHeight="0" orientation="landscape" r:id="rId1"/>
  <headerFooter alignWithMargins="0">
    <oddHeader>&amp;C&amp;"Times New Roman,Bold"AVAILABILITY ANALYSIS - 08/31/18
&amp;REXHIBIT 5</oddHeader>
    <oddFooter>&amp;RUpdated: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Summary</vt:lpstr>
      <vt:lpstr>SrAd</vt:lpstr>
      <vt:lpstr>Res</vt:lpstr>
      <vt:lpstr>DM</vt:lpstr>
      <vt:lpstr>AP</vt:lpstr>
      <vt:lpstr>EP</vt:lpstr>
      <vt:lpstr>TC</vt:lpstr>
      <vt:lpstr>AC</vt:lpstr>
      <vt:lpstr>EC</vt:lpstr>
      <vt:lpstr>Cus</vt:lpstr>
      <vt:lpstr>SvMn</vt:lpstr>
      <vt:lpstr>AC!Print_Titles</vt:lpstr>
      <vt:lpstr>AP!Print_Titles</vt:lpstr>
      <vt:lpstr>Cus!Print_Titles</vt:lpstr>
      <vt:lpstr>DM!Print_Titles</vt:lpstr>
      <vt:lpstr>EC!Print_Titles</vt:lpstr>
      <vt:lpstr>EP!Print_Titles</vt:lpstr>
      <vt:lpstr>Res!Print_Titles</vt:lpstr>
      <vt:lpstr>SrAd!Print_Titles</vt:lpstr>
      <vt:lpstr>SvMn!Print_Titles</vt:lpstr>
      <vt:lpstr>TC!Print_Titles</vt:lpstr>
    </vt:vector>
  </TitlesOfParts>
  <Company>UAH / Microsoft MOLP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Laurel C. Long</cp:lastModifiedBy>
  <cp:lastPrinted>2018-09-21T15:05:35Z</cp:lastPrinted>
  <dcterms:created xsi:type="dcterms:W3CDTF">2002-02-20T15:49:54Z</dcterms:created>
  <dcterms:modified xsi:type="dcterms:W3CDTF">2018-09-21T15:17:28Z</dcterms:modified>
</cp:coreProperties>
</file>