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985" windowWidth="18240" windowHeight="6660" tabRatio="893" activeTab="0"/>
  </bookViews>
  <sheets>
    <sheet name="BUS" sheetId="1" r:id="rId1"/>
    <sheet name="BUS2" sheetId="2" r:id="rId2"/>
    <sheet name="ACC" sheetId="3" r:id="rId3"/>
    <sheet name="ACC2" sheetId="4" r:id="rId4"/>
    <sheet name="ACC3" sheetId="5" r:id="rId5"/>
    <sheet name="BLS2" sheetId="6" r:id="rId6"/>
    <sheet name="ECN2" sheetId="7" r:id="rId7"/>
    <sheet name="FIN" sheetId="8" r:id="rId8"/>
    <sheet name="FIN2" sheetId="9" r:id="rId9"/>
    <sheet name="HRM" sheetId="10" r:id="rId10"/>
    <sheet name="HRM2" sheetId="11" r:id="rId11"/>
    <sheet name="IAMI" sheetId="12" r:id="rId12"/>
    <sheet name="IAMI2" sheetId="13" r:id="rId13"/>
    <sheet name="MGT" sheetId="14" r:id="rId14"/>
    <sheet name="MGT2" sheetId="15" r:id="rId15"/>
    <sheet name="MIS" sheetId="16" r:id="rId16"/>
    <sheet name="MIS2" sheetId="17" r:id="rId17"/>
    <sheet name="MSC2" sheetId="18" r:id="rId18"/>
    <sheet name="MKT" sheetId="19" r:id="rId19"/>
    <sheet name="MKT2" sheetId="20" r:id="rId20"/>
    <sheet name="PRM" sheetId="21" state="hidden" r:id="rId21"/>
    <sheet name="PRM2" sheetId="22" state="hidden" r:id="rId22"/>
    <sheet name="PEN&amp;UND" sheetId="23" r:id="rId23"/>
    <sheet name="PEN&amp;UND2" sheetId="24" r:id="rId24"/>
  </sheets>
  <definedNames/>
  <calcPr fullCalcOnLoad="1"/>
</workbook>
</file>

<file path=xl/comments1.xml><?xml version="1.0" encoding="utf-8"?>
<comments xmlns="http://schemas.openxmlformats.org/spreadsheetml/2006/main">
  <authors>
    <author>Nathan</author>
  </authors>
  <commentList>
    <comment ref="B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L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H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F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B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 Double Majors</t>
        </r>
      </text>
    </comment>
    <comment ref="C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I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4.xml><?xml version="1.0" encoding="utf-8"?>
<comments xmlns="http://schemas.openxmlformats.org/spreadsheetml/2006/main">
  <authors>
    <author>Nathan</author>
  </authors>
  <commentList>
    <comment ref="K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Nathan:
</t>
        </r>
        <r>
          <rPr>
            <sz val="8"/>
            <rFont val="Tahoma"/>
            <family val="2"/>
          </rPr>
          <t>Includes 1 Double Major</t>
        </r>
      </text>
    </comment>
    <comment ref="D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1 MSM Included in Total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6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H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19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3.xml><?xml version="1.0" encoding="utf-8"?>
<comments xmlns="http://schemas.openxmlformats.org/spreadsheetml/2006/main">
  <authors>
    <author>Nathan</author>
  </authors>
  <commentList>
    <comment ref="L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comments8.xml><?xml version="1.0" encoding="utf-8"?>
<comments xmlns="http://schemas.openxmlformats.org/spreadsheetml/2006/main">
  <authors>
    <author>Nathan</author>
  </authors>
  <commentLis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I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F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D6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sharedStrings.xml><?xml version="1.0" encoding="utf-8"?>
<sst xmlns="http://schemas.openxmlformats.org/spreadsheetml/2006/main" count="1444" uniqueCount="60">
  <si>
    <t>Accounting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</si>
  <si>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</si>
  <si>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</si>
  <si>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</si>
  <si>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</si>
  <si>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</si>
  <si>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</si>
  <si>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</si>
  <si>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</si>
  <si>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</si>
  <si>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</si>
  <si>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Headcount Enrollment</t>
  </si>
  <si>
    <t>Fall Term</t>
  </si>
  <si>
    <t>Undergraduate</t>
  </si>
  <si>
    <t>Fall</t>
  </si>
  <si>
    <t>Spring</t>
  </si>
  <si>
    <t>Summer</t>
  </si>
  <si>
    <t>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</si>
  <si>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</si>
  <si>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</si>
  <si>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</si>
  <si>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</si>
  <si>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</si>
  <si>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</si>
  <si>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Business Legal Studies</t>
  </si>
  <si>
    <t>Economics</t>
  </si>
  <si>
    <t>Finance</t>
  </si>
  <si>
    <t>Management</t>
  </si>
  <si>
    <t>Management Science</t>
  </si>
  <si>
    <t>Marketing</t>
  </si>
  <si>
    <t>Procurement Management</t>
  </si>
  <si>
    <t>Pending/Undecided</t>
  </si>
  <si>
    <t>2000-01</t>
  </si>
  <si>
    <t>2001-02</t>
  </si>
  <si>
    <t xml:space="preserve">Certificate in Accountancy </t>
  </si>
  <si>
    <t xml:space="preserve">Certificate in Human Resources Management </t>
  </si>
  <si>
    <t>2002-03</t>
  </si>
  <si>
    <t>2003-04</t>
  </si>
  <si>
    <t>Unknown</t>
  </si>
  <si>
    <t>2004-05</t>
  </si>
  <si>
    <t>Bachelors Degrees*</t>
  </si>
  <si>
    <t>* Does not include degrees awarded in Spring 2005</t>
  </si>
  <si>
    <t>2005-06</t>
  </si>
  <si>
    <t>Certificate in Information Assurance</t>
  </si>
  <si>
    <t>Information Assurance</t>
  </si>
  <si>
    <t>Human Resources Management</t>
  </si>
  <si>
    <t>Unweighted Credit Hours*</t>
  </si>
  <si>
    <t>Weighted Credit Hours*</t>
  </si>
  <si>
    <t xml:space="preserve">* Credit hours are calculated for Summer, Fall, and Spring.  </t>
  </si>
  <si>
    <t>2006-07</t>
  </si>
  <si>
    <t>2007-08</t>
  </si>
  <si>
    <t>College of Business Administration</t>
  </si>
  <si>
    <t>2008-09</t>
  </si>
  <si>
    <t>Bachelors Degrees</t>
  </si>
  <si>
    <t>Masters Degrees</t>
  </si>
  <si>
    <t xml:space="preserve"> Information Systems</t>
  </si>
  <si>
    <t>Information Systems</t>
  </si>
  <si>
    <t>2009-10</t>
  </si>
  <si>
    <r>
      <t xml:space="preserve">* Degrees awarded do </t>
    </r>
    <r>
      <rPr>
        <b/>
        <u val="single"/>
        <sz val="8"/>
        <rFont val="MS Sans Serif"/>
        <family val="2"/>
      </rPr>
      <t xml:space="preserve">not </t>
    </r>
    <r>
      <rPr>
        <b/>
        <sz val="8"/>
        <rFont val="MS Sans Serif"/>
        <family val="0"/>
      </rPr>
      <t>include certificates.  Certificates awarded are found on appropriate departmental pages.</t>
    </r>
  </si>
  <si>
    <t>Certificates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</si>
</sst>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"/>
    <numFmt numFmtId="167" formatCode="#,##0\ \ \ \ "/>
    <numFmt numFmtId="168" formatCode="#,##0.0\ \ \ \ \ \ 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_);_(* \(#,##0.00\);_(\ &quot;-&quot;??_);_(@_)"/>
    <numFmt numFmtId="173" formatCode="_(* #,##0.0000_);_(* \(#,##0.0000\);_(* &quot;-&quot;????_);_(@_)"/>
    <numFmt numFmtId="174" formatCode="0\ \ \ 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u val="single"/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0" borderId="6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8" fontId="5" fillId="0" borderId="5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167" fontId="5" fillId="0" borderId="8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5" fontId="5" fillId="0" borderId="7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167" fontId="5" fillId="0" borderId="9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4" fontId="5" fillId="0" borderId="5" xfId="0" applyNumberFormat="1" applyFont="1" applyBorder="1" applyAlignment="1">
      <alignment horizontal="right"/>
    </xf>
    <xf numFmtId="174" fontId="5" fillId="0" borderId="6" xfId="0" applyNumberFormat="1" applyFont="1" applyBorder="1" applyAlignment="1">
      <alignment horizontal="right"/>
    </xf>
    <xf numFmtId="174" fontId="5" fillId="0" borderId="7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3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5" fillId="0" borderId="5" xfId="0" applyNumberFormat="1" applyFont="1" applyBorder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9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18.7109375" style="26" customWidth="1"/>
    <col min="2" max="18" width="7.28125" style="2" customWidth="1"/>
    <col min="19" max="16384" width="9.140625" style="2" customWidth="1"/>
  </cols>
  <sheetData>
    <row r="1" ht="12.75" customHeight="1">
      <c r="A1" s="16" t="s">
        <v>51</v>
      </c>
    </row>
    <row r="2" ht="10.5" customHeight="1">
      <c r="A2" s="16"/>
    </row>
    <row r="3" ht="12.75" customHeight="1">
      <c r="A3" s="17" t="s">
        <v>7</v>
      </c>
    </row>
    <row r="4" ht="10.5" customHeight="1">
      <c r="A4" s="17"/>
    </row>
    <row r="5" spans="1:18" s="26" customFormat="1" ht="12.75" customHeight="1">
      <c r="A5" s="16"/>
      <c r="B5" s="35" t="s">
        <v>1</v>
      </c>
      <c r="C5" s="36"/>
      <c r="D5" s="35" t="s">
        <v>2</v>
      </c>
      <c r="E5" s="36"/>
      <c r="F5" s="35" t="s">
        <v>3</v>
      </c>
      <c r="G5" s="36"/>
      <c r="H5" s="35" t="s">
        <v>4</v>
      </c>
      <c r="I5" s="36"/>
      <c r="J5" s="35" t="s">
        <v>5</v>
      </c>
      <c r="K5" s="36"/>
      <c r="L5" s="93" t="s">
        <v>6</v>
      </c>
      <c r="M5" s="94"/>
      <c r="N5" s="35" t="s">
        <v>38</v>
      </c>
      <c r="O5" s="36"/>
      <c r="P5" s="35" t="s">
        <v>7</v>
      </c>
      <c r="Q5" s="36"/>
      <c r="R5" s="30" t="s">
        <v>8</v>
      </c>
    </row>
    <row r="6" spans="1:18" s="26" customFormat="1" ht="12.75" customHeight="1">
      <c r="A6" s="1" t="s">
        <v>53</v>
      </c>
      <c r="B6" s="31" t="s">
        <v>9</v>
      </c>
      <c r="C6" s="34" t="s">
        <v>10</v>
      </c>
      <c r="D6" s="31" t="s">
        <v>9</v>
      </c>
      <c r="E6" s="34" t="s">
        <v>10</v>
      </c>
      <c r="F6" s="31" t="s">
        <v>9</v>
      </c>
      <c r="G6" s="34" t="s">
        <v>10</v>
      </c>
      <c r="H6" s="31" t="s">
        <v>9</v>
      </c>
      <c r="I6" s="34" t="s">
        <v>10</v>
      </c>
      <c r="J6" s="31" t="s">
        <v>9</v>
      </c>
      <c r="K6" s="34" t="s">
        <v>10</v>
      </c>
      <c r="L6" s="31" t="s">
        <v>9</v>
      </c>
      <c r="M6" s="34" t="s">
        <v>10</v>
      </c>
      <c r="N6" s="31" t="s">
        <v>9</v>
      </c>
      <c r="O6" s="34" t="s">
        <v>10</v>
      </c>
      <c r="P6" s="31" t="s">
        <v>9</v>
      </c>
      <c r="Q6" s="34" t="s">
        <v>10</v>
      </c>
      <c r="R6" s="32" t="s">
        <v>7</v>
      </c>
    </row>
    <row r="7" spans="1:18" ht="10.5" customHeight="1">
      <c r="A7" s="16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4"/>
      <c r="R7" s="10"/>
    </row>
    <row r="8" spans="1:20" ht="12.75" customHeight="1">
      <c r="A8" s="1" t="s">
        <v>42</v>
      </c>
      <c r="B8" s="37">
        <f>MKT!B6+MIS!B6+MGT!B6+FIN!B6+ACC!B6</f>
        <v>84</v>
      </c>
      <c r="C8" s="40">
        <f>MKT!C6+MIS!C6+MGT!C6+FIN!C6+ACC!C6</f>
        <v>87</v>
      </c>
      <c r="D8" s="37">
        <f>MKT!D6+MIS!D6+MGT!D6+FIN!D6+ACC!D6</f>
        <v>8</v>
      </c>
      <c r="E8" s="40">
        <f>MKT!E6+MIS!E6+MGT!E6+FIN!E6+ACC!E6</f>
        <v>12</v>
      </c>
      <c r="F8" s="37">
        <f>MKT!F6+MIS!F6+MGT!F6+FIN!F6+ACC!F6</f>
        <v>2</v>
      </c>
      <c r="G8" s="40">
        <f>MKT!G6+MIS!G6+MGT!G6+FIN!G6+ACC!G6</f>
        <v>1</v>
      </c>
      <c r="H8" s="37">
        <f>MKT!H6+MIS!H6+MGT!H6+FIN!H6+ACC!H6</f>
        <v>5</v>
      </c>
      <c r="I8" s="40">
        <f>MKT!I6+MIS!I6+MGT!I6+FIN!I6+ACC!I6</f>
        <v>6</v>
      </c>
      <c r="J8" s="37">
        <f>MKT!J6+MIS!J6+MGT!J6+FIN!J6+ACC!J6</f>
        <v>1</v>
      </c>
      <c r="K8" s="40">
        <f>MKT!K6+MIS!K6+MGT!K6+FIN!K6+ACC!K6</f>
        <v>2</v>
      </c>
      <c r="L8" s="37">
        <f>MKT!L6+MIS!L6+MGT!L6+FIN!L6+ACC!L6</f>
        <v>12</v>
      </c>
      <c r="M8" s="40">
        <f>MKT!M6+MIS!M6+MGT!M6+FIN!M6+ACC!M6</f>
        <v>2</v>
      </c>
      <c r="N8" s="37">
        <f>MKT!N6+MIS!N6+MGT!N6+FIN!N6+ACC!N6</f>
        <v>1</v>
      </c>
      <c r="O8" s="40">
        <f>MKT!O6+MIS!O6+MGT!O6+FIN!O6+ACC!O6</f>
        <v>0</v>
      </c>
      <c r="P8" s="37">
        <f>MKT!P6+MIS!P6+MGT!P6+FIN!P6+ACC!P6</f>
        <v>113</v>
      </c>
      <c r="Q8" s="40">
        <f>MKT!Q6+MIS!Q6+MGT!Q6+FIN!Q6+ACC!Q6</f>
        <v>110</v>
      </c>
      <c r="R8" s="39">
        <f>Q8+P8</f>
        <v>223</v>
      </c>
      <c r="S8" s="91"/>
      <c r="T8" s="91"/>
    </row>
    <row r="9" spans="1:20" ht="12.75" customHeight="1">
      <c r="A9" s="1" t="s">
        <v>49</v>
      </c>
      <c r="B9" s="37">
        <f>MKT!B7+MIS!B7+MGT!B7+FIN!B7+ACC!B7</f>
        <v>86</v>
      </c>
      <c r="C9" s="40">
        <f>MKT!C7+MIS!C7+MGT!C7+FIN!C7+ACC!C7</f>
        <v>72</v>
      </c>
      <c r="D9" s="37">
        <f>MKT!D7+MIS!D7+MGT!D7+FIN!D7+ACC!D7</f>
        <v>5</v>
      </c>
      <c r="E9" s="40">
        <f>MKT!E7+MIS!E7+MGT!E7+FIN!E7+ACC!E7</f>
        <v>21</v>
      </c>
      <c r="F9" s="37">
        <f>MKT!F7+MIS!F7+MGT!F7+FIN!F7+ACC!F7</f>
        <v>4</v>
      </c>
      <c r="G9" s="40">
        <f>MKT!G7+MIS!G7+MGT!G7+FIN!G7+ACC!G7</f>
        <v>2</v>
      </c>
      <c r="H9" s="37">
        <f>MKT!H7+MIS!H7+MGT!H7+FIN!H7+ACC!H7</f>
        <v>3</v>
      </c>
      <c r="I9" s="40">
        <f>MKT!I7+MIS!I7+MGT!I7+FIN!I7+ACC!I7</f>
        <v>7</v>
      </c>
      <c r="J9" s="37">
        <f>MKT!J7+MIS!J7+MGT!J7+FIN!J7+ACC!J7</f>
        <v>1</v>
      </c>
      <c r="K9" s="40">
        <f>MKT!K7+MIS!K7+MGT!K7+FIN!K7+ACC!K7</f>
        <v>2</v>
      </c>
      <c r="L9" s="37">
        <f>MKT!L7+MIS!L7+MGT!L7+FIN!L7+ACC!L7</f>
        <v>9</v>
      </c>
      <c r="M9" s="40">
        <f>MKT!M7+MIS!M7+MGT!M7+FIN!M7+ACC!M7</f>
        <v>1</v>
      </c>
      <c r="N9" s="37">
        <f>MKT!N7+MIS!N7+MGT!N7+FIN!N7+ACC!N7</f>
        <v>1</v>
      </c>
      <c r="O9" s="40">
        <f>MKT!O7+MIS!O7+MGT!O7+FIN!O7+ACC!O7</f>
        <v>0</v>
      </c>
      <c r="P9" s="37">
        <f>MKT!P7+MIS!P7+MGT!P7+FIN!P7+ACC!P7</f>
        <v>109</v>
      </c>
      <c r="Q9" s="40">
        <f>MKT!Q7+MIS!Q7+MGT!Q7+FIN!Q7+ACC!Q7</f>
        <v>105</v>
      </c>
      <c r="R9" s="39">
        <f>Q9+P9</f>
        <v>214</v>
      </c>
      <c r="S9" s="90"/>
      <c r="T9" s="90"/>
    </row>
    <row r="10" spans="1:20" ht="12.75" customHeight="1">
      <c r="A10" s="1" t="s">
        <v>50</v>
      </c>
      <c r="B10" s="37">
        <f>MKT!B8+MIS!B8+MGT!B8+FIN!B8+ACC!B8</f>
        <v>94</v>
      </c>
      <c r="C10" s="40">
        <f>MKT!C8+MIS!C8+MGT!C8+FIN!C8+ACC!C8</f>
        <v>67</v>
      </c>
      <c r="D10" s="37">
        <f>MKT!D8+MIS!D8+MGT!D8+FIN!D8+ACC!D8</f>
        <v>11</v>
      </c>
      <c r="E10" s="40">
        <f>MKT!E8+MIS!E8+MGT!E8+FIN!E8+ACC!E8</f>
        <v>19</v>
      </c>
      <c r="F10" s="37">
        <f>MKT!F8+MIS!F8+MGT!F8+FIN!F8+ACC!F8</f>
        <v>3</v>
      </c>
      <c r="G10" s="40">
        <f>MKT!G8+MIS!G8+MGT!G8+FIN!G8+ACC!G8</f>
        <v>1</v>
      </c>
      <c r="H10" s="37">
        <f>MKT!H8+MIS!H8+MGT!H8+FIN!H8+ACC!H8</f>
        <v>4</v>
      </c>
      <c r="I10" s="40">
        <f>MKT!I8+MIS!I8+MGT!I8+FIN!I8+ACC!I8</f>
        <v>9</v>
      </c>
      <c r="J10" s="37">
        <f>MKT!J8+MIS!J8+MGT!J8+FIN!J8+ACC!J8</f>
        <v>0</v>
      </c>
      <c r="K10" s="40">
        <f>MKT!K8+MIS!K8+MGT!K8+FIN!K8+ACC!K8</f>
        <v>2</v>
      </c>
      <c r="L10" s="37">
        <f>MKT!L8+MIS!L8+MGT!L8+FIN!L8+ACC!L8</f>
        <v>3</v>
      </c>
      <c r="M10" s="40">
        <f>MKT!M8+MIS!M8+MGT!M8+FIN!M8+ACC!M8</f>
        <v>2</v>
      </c>
      <c r="N10" s="37">
        <f>MKT!N8+MIS!N8+MGT!N8+FIN!N8+ACC!N8</f>
        <v>0</v>
      </c>
      <c r="O10" s="40">
        <f>MKT!O8+MIS!O8+MGT!O8+FIN!O8+ACC!O8</f>
        <v>1</v>
      </c>
      <c r="P10" s="37">
        <f>MKT!P8+MIS!P8+MGT!P8+FIN!P8+ACC!P8</f>
        <v>115</v>
      </c>
      <c r="Q10" s="40">
        <f>MKT!Q8+MIS!Q8+MGT!Q8+FIN!Q8+ACC!Q8</f>
        <v>101</v>
      </c>
      <c r="R10" s="39">
        <f>Q10+P10</f>
        <v>216</v>
      </c>
      <c r="S10" s="90"/>
      <c r="T10" s="90"/>
    </row>
    <row r="11" spans="1:20" ht="12.75" customHeight="1">
      <c r="A11" s="1" t="s">
        <v>52</v>
      </c>
      <c r="B11" s="37">
        <f>MKT!B9+MIS!B9+MGT!B9+FIN!B9+ACC!B9</f>
        <v>99</v>
      </c>
      <c r="C11" s="40">
        <f>MKT!C9+MIS!C9+MGT!C9+FIN!C9+ACC!C9</f>
        <v>65</v>
      </c>
      <c r="D11" s="37">
        <f>MKT!D9+MIS!D9+MGT!D9+FIN!D9+ACC!D9</f>
        <v>14</v>
      </c>
      <c r="E11" s="40">
        <f>MKT!E9+MIS!E9+MGT!E9+FIN!E9+ACC!E9</f>
        <v>16</v>
      </c>
      <c r="F11" s="37">
        <f>MKT!F9+MIS!F9+MGT!F9+FIN!F9+ACC!F9</f>
        <v>0</v>
      </c>
      <c r="G11" s="40">
        <f>MKT!G9+MIS!G9+MGT!G9+FIN!G9+ACC!G9</f>
        <v>1</v>
      </c>
      <c r="H11" s="37">
        <f>MKT!H9+MIS!H9+MGT!H9+FIN!H9+ACC!H9</f>
        <v>2</v>
      </c>
      <c r="I11" s="40">
        <f>MKT!I9+MIS!I9+MGT!I9+FIN!I9+ACC!I9</f>
        <v>4</v>
      </c>
      <c r="J11" s="37">
        <f>MKT!J9+MIS!J9+MGT!J9+FIN!J9+ACC!J9</f>
        <v>2</v>
      </c>
      <c r="K11" s="40">
        <f>MKT!K9+MIS!K9+MGT!K9+FIN!K9+ACC!K9</f>
        <v>4</v>
      </c>
      <c r="L11" s="37">
        <f>MKT!L9+MIS!L9+MGT!L9+FIN!L9+ACC!L9</f>
        <v>8</v>
      </c>
      <c r="M11" s="40">
        <f>MKT!M9+MIS!M9+MGT!M9+FIN!M9+ACC!M9</f>
        <v>1</v>
      </c>
      <c r="N11" s="37">
        <f>MKT!N9+MIS!N9+MGT!N9+FIN!N9+ACC!N9</f>
        <v>0</v>
      </c>
      <c r="O11" s="40">
        <f>MKT!O9+MIS!O9+MGT!O9+FIN!O9+ACC!O9</f>
        <v>0</v>
      </c>
      <c r="P11" s="37">
        <f>MKT!P9+MIS!P9+MGT!P9+FIN!P9+ACC!P9</f>
        <v>125</v>
      </c>
      <c r="Q11" s="40">
        <f>MKT!Q9+MIS!Q9+MGT!Q9+FIN!Q9+ACC!Q9</f>
        <v>91</v>
      </c>
      <c r="R11" s="39">
        <f>Q11+P11</f>
        <v>216</v>
      </c>
      <c r="S11" s="90"/>
      <c r="T11" s="90"/>
    </row>
    <row r="12" spans="1:20" ht="12.75" customHeight="1">
      <c r="A12" s="1" t="s">
        <v>57</v>
      </c>
      <c r="B12" s="37">
        <f>MKT!B10+MIS!B10+MGT!B10+FIN!B10+ACC!B10</f>
        <v>74</v>
      </c>
      <c r="C12" s="40">
        <f>MKT!C10+MIS!C10+MGT!C10+FIN!C10+ACC!C10</f>
        <v>77</v>
      </c>
      <c r="D12" s="37">
        <f>MKT!D10+MIS!D10+MGT!D10+FIN!D10+ACC!D10</f>
        <v>16</v>
      </c>
      <c r="E12" s="40">
        <f>MKT!E10+MIS!E10+MGT!E10+FIN!E10+ACC!E10</f>
        <v>7</v>
      </c>
      <c r="F12" s="37">
        <f>MKT!F10+MIS!F10+MGT!F10+FIN!F10+ACC!F10</f>
        <v>1</v>
      </c>
      <c r="G12" s="40">
        <f>MKT!G10+MIS!G10+MGT!G10+FIN!G10+ACC!G10</f>
        <v>0</v>
      </c>
      <c r="H12" s="37">
        <f>MKT!H10+MIS!H10+MGT!H10+FIN!H10+ACC!H10</f>
        <v>2</v>
      </c>
      <c r="I12" s="40">
        <f>MKT!I10+MIS!I10+MGT!I10+FIN!I10+ACC!I10</f>
        <v>2</v>
      </c>
      <c r="J12" s="37">
        <f>MKT!J10+MIS!J10+MGT!J10+FIN!J10+ACC!J10</f>
        <v>1</v>
      </c>
      <c r="K12" s="40">
        <f>MKT!K10+MIS!K10+MGT!K10+FIN!K10+ACC!K10</f>
        <v>4</v>
      </c>
      <c r="L12" s="37">
        <f>MKT!L10+MIS!L10+MGT!L10+FIN!L10+ACC!L10</f>
        <v>8</v>
      </c>
      <c r="M12" s="40">
        <f>MKT!M10+MIS!M10+MGT!M10+FIN!M10+ACC!M10</f>
        <v>1</v>
      </c>
      <c r="N12" s="37">
        <f>MKT!N10+MIS!N10+MGT!N10+FIN!N10+ACC!N10</f>
        <v>0</v>
      </c>
      <c r="O12" s="40">
        <f>MKT!O10+MIS!O10+MGT!O10+FIN!O10+ACC!O10</f>
        <v>3</v>
      </c>
      <c r="P12" s="37">
        <f>MKT!P10+MIS!P10+MGT!P10+FIN!P10+ACC!P10</f>
        <v>102</v>
      </c>
      <c r="Q12" s="40">
        <f>MKT!Q10+MIS!Q10+MGT!Q10+FIN!Q10+ACC!Q10</f>
        <v>94</v>
      </c>
      <c r="R12" s="39">
        <f>Q12+P12</f>
        <v>196</v>
      </c>
      <c r="S12" s="90"/>
      <c r="T12" s="90"/>
    </row>
    <row r="13" spans="2:20" ht="10.5" customHeight="1"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4"/>
      <c r="S13" s="90"/>
      <c r="T13" s="90"/>
    </row>
    <row r="14" spans="2:20" ht="9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90"/>
      <c r="T14" s="90"/>
    </row>
    <row r="15" spans="1:20" s="26" customFormat="1" ht="12.75" customHeight="1">
      <c r="A15" s="16"/>
      <c r="B15" s="35" t="s">
        <v>1</v>
      </c>
      <c r="C15" s="36"/>
      <c r="D15" s="35" t="s">
        <v>2</v>
      </c>
      <c r="E15" s="36"/>
      <c r="F15" s="35" t="s">
        <v>3</v>
      </c>
      <c r="G15" s="36"/>
      <c r="H15" s="35" t="s">
        <v>4</v>
      </c>
      <c r="I15" s="36"/>
      <c r="J15" s="35" t="s">
        <v>5</v>
      </c>
      <c r="K15" s="36"/>
      <c r="L15" s="93" t="s">
        <v>6</v>
      </c>
      <c r="M15" s="94"/>
      <c r="N15" s="35" t="s">
        <v>38</v>
      </c>
      <c r="O15" s="36"/>
      <c r="P15" s="35" t="s">
        <v>7</v>
      </c>
      <c r="Q15" s="36"/>
      <c r="R15" s="30" t="s">
        <v>8</v>
      </c>
      <c r="S15" s="90"/>
      <c r="T15" s="90"/>
    </row>
    <row r="16" spans="1:20" s="26" customFormat="1" ht="12.75" customHeight="1">
      <c r="A16" s="53" t="s">
        <v>54</v>
      </c>
      <c r="B16" s="31" t="s">
        <v>9</v>
      </c>
      <c r="C16" s="34" t="s">
        <v>10</v>
      </c>
      <c r="D16" s="31" t="s">
        <v>9</v>
      </c>
      <c r="E16" s="34" t="s">
        <v>10</v>
      </c>
      <c r="F16" s="31" t="s">
        <v>9</v>
      </c>
      <c r="G16" s="34" t="s">
        <v>10</v>
      </c>
      <c r="H16" s="31" t="s">
        <v>9</v>
      </c>
      <c r="I16" s="34" t="s">
        <v>10</v>
      </c>
      <c r="J16" s="31" t="s">
        <v>9</v>
      </c>
      <c r="K16" s="34" t="s">
        <v>10</v>
      </c>
      <c r="L16" s="31" t="s">
        <v>9</v>
      </c>
      <c r="M16" s="34" t="s">
        <v>10</v>
      </c>
      <c r="N16" s="31" t="s">
        <v>9</v>
      </c>
      <c r="O16" s="34" t="s">
        <v>10</v>
      </c>
      <c r="P16" s="31" t="s">
        <v>9</v>
      </c>
      <c r="Q16" s="34" t="s">
        <v>10</v>
      </c>
      <c r="R16" s="32" t="s">
        <v>7</v>
      </c>
      <c r="S16" s="90"/>
      <c r="T16" s="90"/>
    </row>
    <row r="17" spans="1:20" ht="10.5" customHeight="1">
      <c r="A17" s="16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3"/>
      <c r="Q17" s="4"/>
      <c r="R17" s="10"/>
      <c r="S17" s="90"/>
      <c r="T17" s="90"/>
    </row>
    <row r="18" spans="1:20" ht="12.75" customHeight="1">
      <c r="A18" s="1" t="s">
        <v>42</v>
      </c>
      <c r="B18" s="37">
        <f>SUM(ACC!B16,MGT!B16,MIS!B16)</f>
        <v>29</v>
      </c>
      <c r="C18" s="38">
        <f>SUM(ACC!C16,MGT!C16,MIS!C16)</f>
        <v>19</v>
      </c>
      <c r="D18" s="37">
        <f>SUM(ACC!D16,MGT!D16,MIS!D16)</f>
        <v>2</v>
      </c>
      <c r="E18" s="38">
        <f>SUM(ACC!E16,MGT!E16,MIS!E16)</f>
        <v>2</v>
      </c>
      <c r="F18" s="37">
        <f>SUM(ACC!F16,MGT!F16,MIS!F16)</f>
        <v>1</v>
      </c>
      <c r="G18" s="38">
        <f>SUM(ACC!G16,MGT!G16,MIS!G16)</f>
        <v>0</v>
      </c>
      <c r="H18" s="37">
        <f>SUM(ACC!H16,MGT!H16,MIS!H16)</f>
        <v>1</v>
      </c>
      <c r="I18" s="38">
        <f>SUM(ACC!I16,MGT!I16,MIS!I16)</f>
        <v>0</v>
      </c>
      <c r="J18" s="37">
        <f>SUM(ACC!J16,MGT!J16,MIS!J16)</f>
        <v>0</v>
      </c>
      <c r="K18" s="38">
        <f>SUM(ACC!K16,MGT!K16,MIS!K16)</f>
        <v>0</v>
      </c>
      <c r="L18" s="37">
        <f>SUM(ACC!L16,MGT!L16,MIS!L16)</f>
        <v>3</v>
      </c>
      <c r="M18" s="38">
        <f>SUM(ACC!M16,MGT!M16,MIS!M16)</f>
        <v>5</v>
      </c>
      <c r="N18" s="37">
        <f>SUM(ACC!N16,MGT!N16,MIS!N16)</f>
        <v>2</v>
      </c>
      <c r="O18" s="38">
        <f>SUM(ACC!O16,MGT!O16,MIS!O16)</f>
        <v>0</v>
      </c>
      <c r="P18" s="37">
        <f>SUM(ACC!P16,MGT!P16,MIS!P16)</f>
        <v>38</v>
      </c>
      <c r="Q18" s="38">
        <f>SUM(ACC!Q16,MGT!Q16,MIS!Q16)</f>
        <v>26</v>
      </c>
      <c r="R18" s="39">
        <f>Q18+P18</f>
        <v>64</v>
      </c>
      <c r="S18" s="90"/>
      <c r="T18" s="91"/>
    </row>
    <row r="19" spans="1:20" ht="12.75" customHeight="1">
      <c r="A19" s="1" t="s">
        <v>49</v>
      </c>
      <c r="B19" s="37">
        <f>SUM(ACC!B17,MGT!B17,MIS!B17)</f>
        <v>16</v>
      </c>
      <c r="C19" s="38">
        <f>SUM(ACC!C17,MGT!C17,MIS!C17)</f>
        <v>9</v>
      </c>
      <c r="D19" s="37">
        <f>SUM(ACC!D17,MGT!D17,MIS!D17)</f>
        <v>1</v>
      </c>
      <c r="E19" s="38">
        <f>SUM(ACC!E17,MGT!E17,MIS!E17)</f>
        <v>6</v>
      </c>
      <c r="F19" s="37">
        <f>SUM(ACC!F17,MGT!F17,MIS!F17)</f>
        <v>1</v>
      </c>
      <c r="G19" s="38">
        <f>SUM(ACC!G17,MGT!G17,MIS!G17)</f>
        <v>1</v>
      </c>
      <c r="H19" s="37">
        <f>SUM(ACC!H17,MGT!H17,MIS!H17)</f>
        <v>2</v>
      </c>
      <c r="I19" s="38">
        <f>SUM(ACC!I17,MGT!I17,MIS!I17)</f>
        <v>1</v>
      </c>
      <c r="J19" s="37">
        <f>SUM(ACC!J17,MGT!J17,MIS!J17)</f>
        <v>0</v>
      </c>
      <c r="K19" s="38">
        <f>SUM(ACC!K17,MGT!K17,MIS!K17)</f>
        <v>0</v>
      </c>
      <c r="L19" s="37">
        <f>SUM(ACC!L17,MGT!L17,MIS!L17)</f>
        <v>3</v>
      </c>
      <c r="M19" s="38">
        <f>SUM(ACC!M17,MGT!M17,MIS!M17)</f>
        <v>3</v>
      </c>
      <c r="N19" s="37">
        <f>SUM(ACC!N17,MGT!N17,MIS!N17)</f>
        <v>1</v>
      </c>
      <c r="O19" s="38">
        <f>SUM(ACC!O17,MGT!O17,MIS!O17)</f>
        <v>0</v>
      </c>
      <c r="P19" s="37">
        <f>SUM(ACC!P17,MGT!P17,MIS!P17)</f>
        <v>24</v>
      </c>
      <c r="Q19" s="38">
        <f>SUM(ACC!Q17,MGT!Q17,MIS!Q17)</f>
        <v>20</v>
      </c>
      <c r="R19" s="39">
        <f>Q19+P19</f>
        <v>44</v>
      </c>
      <c r="S19" s="90"/>
      <c r="T19" s="90"/>
    </row>
    <row r="20" spans="1:20" ht="12.75" customHeight="1">
      <c r="A20" s="1" t="s">
        <v>50</v>
      </c>
      <c r="B20" s="37">
        <f>SUM(ACC!B18,MGT!B18,MIS!B18)</f>
        <v>26</v>
      </c>
      <c r="C20" s="38">
        <f>SUM(ACC!C18,MGT!C18,MIS!C18)</f>
        <v>17</v>
      </c>
      <c r="D20" s="37">
        <f>SUM(ACC!D18,MGT!D18,MIS!D18)</f>
        <v>2</v>
      </c>
      <c r="E20" s="38">
        <f>SUM(ACC!E18,MGT!E18,MIS!E18)</f>
        <v>4</v>
      </c>
      <c r="F20" s="37">
        <f>SUM(ACC!F18,MGT!F18,MIS!F18)</f>
        <v>0</v>
      </c>
      <c r="G20" s="38">
        <f>SUM(ACC!G18,MGT!G18,MIS!G18)</f>
        <v>0</v>
      </c>
      <c r="H20" s="37">
        <f>SUM(ACC!H18,MGT!H18,MIS!H18)</f>
        <v>1</v>
      </c>
      <c r="I20" s="38">
        <f>SUM(ACC!I18,MGT!I18,MIS!I18)</f>
        <v>0</v>
      </c>
      <c r="J20" s="37">
        <f>SUM(ACC!J18,MGT!J18,MIS!J18)</f>
        <v>2</v>
      </c>
      <c r="K20" s="38">
        <f>SUM(ACC!K18,MGT!K18,MIS!K18)</f>
        <v>1</v>
      </c>
      <c r="L20" s="37">
        <f>SUM(ACC!L18,MGT!L18,MIS!L18)</f>
        <v>2</v>
      </c>
      <c r="M20" s="38">
        <f>SUM(ACC!M18,MGT!M18,MIS!M18)</f>
        <v>4</v>
      </c>
      <c r="N20" s="37">
        <f>SUM(ACC!N18,MGT!N18,MIS!N18)</f>
        <v>0</v>
      </c>
      <c r="O20" s="38">
        <f>SUM(ACC!O18,MGT!O18,MIS!O18)</f>
        <v>0</v>
      </c>
      <c r="P20" s="37">
        <f>SUM(ACC!P18,MGT!P18,MIS!P18)</f>
        <v>33</v>
      </c>
      <c r="Q20" s="38">
        <f>SUM(ACC!Q18,MGT!Q18,MIS!Q18)</f>
        <v>26</v>
      </c>
      <c r="R20" s="39">
        <f>Q20+P20</f>
        <v>59</v>
      </c>
      <c r="S20" s="90"/>
      <c r="T20" s="90"/>
    </row>
    <row r="21" spans="1:20" ht="12.75" customHeight="1">
      <c r="A21" s="1" t="s">
        <v>52</v>
      </c>
      <c r="B21" s="37">
        <f>SUM(ACC!B19,MGT!B19,MIS!B19)</f>
        <v>34</v>
      </c>
      <c r="C21" s="38">
        <f>SUM(ACC!C19,MGT!C19,MIS!C19)</f>
        <v>15</v>
      </c>
      <c r="D21" s="37">
        <f>SUM(ACC!D19,MGT!D19,MIS!D19)</f>
        <v>2</v>
      </c>
      <c r="E21" s="38">
        <f>SUM(ACC!E19,MGT!E19,MIS!E19)</f>
        <v>2</v>
      </c>
      <c r="F21" s="37">
        <f>SUM(ACC!F19,MGT!F19,MIS!F19)</f>
        <v>0</v>
      </c>
      <c r="G21" s="38">
        <f>SUM(ACC!G19,MGT!G19,MIS!G19)</f>
        <v>2</v>
      </c>
      <c r="H21" s="37">
        <f>SUM(ACC!H19,MGT!H19,MIS!H19)</f>
        <v>1</v>
      </c>
      <c r="I21" s="38">
        <f>SUM(ACC!I19,MGT!I19,MIS!I19)</f>
        <v>2</v>
      </c>
      <c r="J21" s="37">
        <f>SUM(ACC!J19,MGT!J19,MIS!J19)</f>
        <v>0</v>
      </c>
      <c r="K21" s="38">
        <f>SUM(ACC!K19,MGT!K19,MIS!K19)</f>
        <v>0</v>
      </c>
      <c r="L21" s="37">
        <f>SUM(ACC!L19,MGT!L19,MIS!L19)</f>
        <v>4</v>
      </c>
      <c r="M21" s="38">
        <f>SUM(ACC!M19,MGT!M19,MIS!M19)</f>
        <v>2</v>
      </c>
      <c r="N21" s="37">
        <f>SUM(ACC!N19,MGT!N19,MIS!N19)</f>
        <v>0</v>
      </c>
      <c r="O21" s="38">
        <f>SUM(ACC!O19,MGT!O19,MIS!O19)</f>
        <v>0</v>
      </c>
      <c r="P21" s="37">
        <f>SUM(ACC!P19,MGT!P19,MIS!P19)</f>
        <v>41</v>
      </c>
      <c r="Q21" s="38">
        <f>SUM(ACC!Q19,MGT!Q19,MIS!Q19)</f>
        <v>23</v>
      </c>
      <c r="R21" s="39">
        <f>Q21+P21</f>
        <v>64</v>
      </c>
      <c r="S21" s="90"/>
      <c r="T21" s="90"/>
    </row>
    <row r="22" spans="1:20" ht="12.75" customHeight="1">
      <c r="A22" s="1" t="s">
        <v>57</v>
      </c>
      <c r="B22" s="37">
        <f>SUM(ACC!B20,MGT!B20,MIS!B20)</f>
        <v>42</v>
      </c>
      <c r="C22" s="38">
        <f>SUM(ACC!C20,MGT!C20,MIS!C20)</f>
        <v>24</v>
      </c>
      <c r="D22" s="37">
        <f>SUM(ACC!D20,MGT!D20,MIS!D20)</f>
        <v>6</v>
      </c>
      <c r="E22" s="38">
        <f>SUM(ACC!E20,MGT!E20,MIS!E20)</f>
        <v>2</v>
      </c>
      <c r="F22" s="37">
        <f>SUM(ACC!F20,MGT!F20,MIS!F20)</f>
        <v>1</v>
      </c>
      <c r="G22" s="38">
        <f>SUM(ACC!G20,MGT!G20,MIS!G20)</f>
        <v>1</v>
      </c>
      <c r="H22" s="37">
        <f>SUM(ACC!H20,MGT!H20,MIS!H20)</f>
        <v>2</v>
      </c>
      <c r="I22" s="38">
        <f>SUM(ACC!I20,MGT!I20,MIS!I20)</f>
        <v>0</v>
      </c>
      <c r="J22" s="37">
        <f>SUM(ACC!J20,MGT!J20,MIS!J20)</f>
        <v>0</v>
      </c>
      <c r="K22" s="38">
        <f>SUM(ACC!K20,MGT!K20,MIS!K20)</f>
        <v>1</v>
      </c>
      <c r="L22" s="37">
        <f>SUM(ACC!L20,MGT!L20,MIS!L20)</f>
        <v>2</v>
      </c>
      <c r="M22" s="38">
        <f>SUM(ACC!M20,MGT!M20,MIS!M20)</f>
        <v>2</v>
      </c>
      <c r="N22" s="37">
        <f>SUM(ACC!N20,MGT!N20,MIS!N20)</f>
        <v>1</v>
      </c>
      <c r="O22" s="38">
        <f>SUM(ACC!O20,MGT!O20,MIS!O20)</f>
        <v>1</v>
      </c>
      <c r="P22" s="37">
        <f>SUM(ACC!P20,MGT!P20,MIS!P20)</f>
        <v>54</v>
      </c>
      <c r="Q22" s="38">
        <f>SUM(ACC!Q20,MGT!Q20,MIS!Q20)</f>
        <v>31</v>
      </c>
      <c r="R22" s="39">
        <f>Q22+P22</f>
        <v>85</v>
      </c>
      <c r="S22" s="90"/>
      <c r="T22" s="90"/>
    </row>
    <row r="23" spans="2:20" ht="10.5" customHeight="1"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4"/>
      <c r="S23" s="90"/>
      <c r="T23" s="90"/>
    </row>
    <row r="24" spans="1:20" ht="10.5" customHeight="1">
      <c r="A24" s="16"/>
      <c r="S24" s="90"/>
      <c r="T24" s="90"/>
    </row>
    <row r="25" spans="1:20" ht="12.75" customHeight="1">
      <c r="A25" s="1" t="s">
        <v>13</v>
      </c>
      <c r="S25" s="90"/>
      <c r="T25" s="90"/>
    </row>
    <row r="26" spans="1:20" s="26" customFormat="1" ht="12.75" customHeight="1">
      <c r="A26" s="1" t="s">
        <v>11</v>
      </c>
      <c r="B26" s="35" t="s">
        <v>1</v>
      </c>
      <c r="C26" s="36"/>
      <c r="D26" s="35" t="s">
        <v>2</v>
      </c>
      <c r="E26" s="36"/>
      <c r="F26" s="35" t="s">
        <v>3</v>
      </c>
      <c r="G26" s="36"/>
      <c r="H26" s="35" t="s">
        <v>4</v>
      </c>
      <c r="I26" s="36"/>
      <c r="J26" s="35" t="s">
        <v>5</v>
      </c>
      <c r="K26" s="36"/>
      <c r="L26" s="93" t="s">
        <v>6</v>
      </c>
      <c r="M26" s="94"/>
      <c r="N26" s="35" t="s">
        <v>38</v>
      </c>
      <c r="O26" s="36"/>
      <c r="P26" s="35" t="s">
        <v>7</v>
      </c>
      <c r="Q26" s="36"/>
      <c r="R26" s="30" t="s">
        <v>8</v>
      </c>
      <c r="S26" s="90"/>
      <c r="T26" s="90"/>
    </row>
    <row r="27" spans="1:20" s="26" customFormat="1" ht="12.75" customHeight="1">
      <c r="A27" s="53" t="s">
        <v>12</v>
      </c>
      <c r="B27" s="31" t="s">
        <v>9</v>
      </c>
      <c r="C27" s="34" t="s">
        <v>10</v>
      </c>
      <c r="D27" s="31" t="s">
        <v>9</v>
      </c>
      <c r="E27" s="34" t="s">
        <v>10</v>
      </c>
      <c r="F27" s="31" t="s">
        <v>9</v>
      </c>
      <c r="G27" s="34" t="s">
        <v>10</v>
      </c>
      <c r="H27" s="31" t="s">
        <v>9</v>
      </c>
      <c r="I27" s="34" t="s">
        <v>10</v>
      </c>
      <c r="J27" s="31" t="s">
        <v>9</v>
      </c>
      <c r="K27" s="34" t="s">
        <v>10</v>
      </c>
      <c r="L27" s="31" t="s">
        <v>9</v>
      </c>
      <c r="M27" s="34" t="s">
        <v>10</v>
      </c>
      <c r="N27" s="31" t="s">
        <v>9</v>
      </c>
      <c r="O27" s="34" t="s">
        <v>10</v>
      </c>
      <c r="P27" s="31" t="s">
        <v>9</v>
      </c>
      <c r="Q27" s="34" t="s">
        <v>10</v>
      </c>
      <c r="R27" s="32" t="s">
        <v>7</v>
      </c>
      <c r="S27" s="90"/>
      <c r="T27" s="90"/>
    </row>
    <row r="28" spans="1:20" ht="10.5" customHeight="1">
      <c r="A28" s="1"/>
      <c r="B28" s="19"/>
      <c r="C28" s="20"/>
      <c r="D28" s="19"/>
      <c r="E28" s="20"/>
      <c r="F28" s="19"/>
      <c r="G28" s="20"/>
      <c r="H28" s="19"/>
      <c r="I28" s="20"/>
      <c r="J28" s="7"/>
      <c r="K28" s="8"/>
      <c r="L28" s="19"/>
      <c r="M28" s="20"/>
      <c r="N28" s="19"/>
      <c r="O28" s="20"/>
      <c r="P28" s="19"/>
      <c r="Q28" s="20"/>
      <c r="R28" s="5"/>
      <c r="S28" s="90"/>
      <c r="T28" s="90"/>
    </row>
    <row r="29" spans="1:20" ht="12.75" customHeight="1">
      <c r="A29" s="1" t="s">
        <v>42</v>
      </c>
      <c r="B29" s="41">
        <f>'PEN&amp;UND'!B7+HRM!B17+MKT!B17+MIS!B27+MGT!B27+FIN!B17+ACC!B27</f>
        <v>399</v>
      </c>
      <c r="C29" s="42">
        <f>'PEN&amp;UND'!C7+HRM!C17+MKT!C17+MIS!C27+MGT!C27+FIN!C17+ACC!C27</f>
        <v>351</v>
      </c>
      <c r="D29" s="41">
        <f>'PEN&amp;UND'!D7+HRM!D17+MKT!D17+MIS!D27+MGT!D27+FIN!D17+ACC!D27</f>
        <v>56</v>
      </c>
      <c r="E29" s="42">
        <f>'PEN&amp;UND'!E7+HRM!E17+MKT!E17+MIS!E27+MGT!E27+FIN!E17+ACC!E27</f>
        <v>113</v>
      </c>
      <c r="F29" s="41">
        <f>'PEN&amp;UND'!F7+HRM!F17+MKT!F17+MIS!F27+MGT!F27+FIN!F17+ACC!F27</f>
        <v>18</v>
      </c>
      <c r="G29" s="42">
        <f>'PEN&amp;UND'!G7+HRM!G17+MKT!G17+MIS!G27+MGT!G27+FIN!G17+ACC!G27</f>
        <v>7</v>
      </c>
      <c r="H29" s="41">
        <f>'PEN&amp;UND'!H7+HRM!H17+MKT!H17+MIS!H27+MGT!H27+FIN!H17+ACC!H27</f>
        <v>14</v>
      </c>
      <c r="I29" s="42">
        <f>'PEN&amp;UND'!I7+HRM!I17+MKT!I17+MIS!I27+MGT!I27+FIN!I17+ACC!I27</f>
        <v>19</v>
      </c>
      <c r="J29" s="41">
        <f>'PEN&amp;UND'!J7+HRM!J17+MKT!J17+MIS!J27+MGT!J27+FIN!J17+ACC!J27</f>
        <v>5</v>
      </c>
      <c r="K29" s="42">
        <f>'PEN&amp;UND'!K7+HRM!K17+MKT!K17+MIS!K27+MGT!K27+FIN!K17+ACC!K27</f>
        <v>10</v>
      </c>
      <c r="L29" s="41">
        <f>'PEN&amp;UND'!L7+HRM!L17+MKT!L17+MIS!L27+MGT!L27+FIN!L17+ACC!L27</f>
        <v>43</v>
      </c>
      <c r="M29" s="42">
        <f>'PEN&amp;UND'!M7+HRM!M17+MKT!M17+MIS!M27+MGT!M27+FIN!M17+ACC!M27</f>
        <v>8</v>
      </c>
      <c r="N29" s="41">
        <f>'PEN&amp;UND'!N7+MKT!N17+MIS!N27+MGT!N27+FIN!N17+ACC!N27</f>
        <v>6</v>
      </c>
      <c r="O29" s="43">
        <f>'PEN&amp;UND'!O7+MKT!O17+MIS!O27+MGT!O27+FIN!O17+ACC!O27</f>
        <v>1</v>
      </c>
      <c r="P29" s="41">
        <f>'PEN&amp;UND'!P7+HRM!P17+MKT!P17+MIS!P27+MGT!P27+FIN!P17+ACC!P27</f>
        <v>542</v>
      </c>
      <c r="Q29" s="42">
        <f>'PEN&amp;UND'!Q7+HRM!Q17+MKT!Q17+MIS!Q27+MGT!Q27+FIN!Q17+ACC!Q27</f>
        <v>508</v>
      </c>
      <c r="R29" s="44">
        <f>SUM(ACC!R27,FIN!R17,MGT!R27,MIS!R27,MKT!R17,HRM!P17,'PEN&amp;UND'!R7)</f>
        <v>1050</v>
      </c>
      <c r="S29" s="90"/>
      <c r="T29" s="90"/>
    </row>
    <row r="30" spans="1:20" ht="12.75" customHeight="1">
      <c r="A30" s="1" t="s">
        <v>49</v>
      </c>
      <c r="B30" s="41">
        <f>'PEN&amp;UND'!B8+HRM!B18+MKT!B18+MIS!B28+MGT!B28+FIN!B18+ACC!B28</f>
        <v>396</v>
      </c>
      <c r="C30" s="42">
        <f>'PEN&amp;UND'!C8+HRM!C18+MKT!C18+MIS!C28+MGT!C28+FIN!C18+ACC!C28</f>
        <v>300</v>
      </c>
      <c r="D30" s="41">
        <f>'PEN&amp;UND'!D8+HRM!D18+MKT!D18+MIS!D28+MGT!D28+FIN!D18+ACC!D28</f>
        <v>71</v>
      </c>
      <c r="E30" s="42">
        <f>'PEN&amp;UND'!E8+HRM!E18+MKT!E18+MIS!E28+MGT!E28+FIN!E18+ACC!E28</f>
        <v>107</v>
      </c>
      <c r="F30" s="41">
        <f>'PEN&amp;UND'!F8+HRM!F18+MKT!F18+MIS!F28+MGT!F28+FIN!F18+ACC!F28</f>
        <v>13</v>
      </c>
      <c r="G30" s="42">
        <f>'PEN&amp;UND'!G8+HRM!G18+MKT!G18+MIS!G28+MGT!G28+FIN!G18+ACC!G28</f>
        <v>7</v>
      </c>
      <c r="H30" s="41">
        <f>'PEN&amp;UND'!H8+HRM!H18+MKT!H18+MIS!H28+MGT!H28+FIN!H18+ACC!H28</f>
        <v>11</v>
      </c>
      <c r="I30" s="42">
        <f>'PEN&amp;UND'!I8+HRM!I18+MKT!I18+MIS!I28+MGT!I28+FIN!I18+ACC!I28</f>
        <v>15</v>
      </c>
      <c r="J30" s="41">
        <f>'PEN&amp;UND'!J8+HRM!J18+MKT!J18+MIS!J28+MGT!J28+FIN!J18+ACC!J28</f>
        <v>6</v>
      </c>
      <c r="K30" s="42">
        <f>'PEN&amp;UND'!K8+HRM!K18+MKT!K18+MIS!K28+MGT!K28+FIN!K18+ACC!K28</f>
        <v>9</v>
      </c>
      <c r="L30" s="41">
        <f>'PEN&amp;UND'!L8+HRM!L18+MKT!L18+MIS!L28+MGT!L28+FIN!L18+ACC!L28</f>
        <v>34</v>
      </c>
      <c r="M30" s="42">
        <f>'PEN&amp;UND'!M8+HRM!M18+MKT!M18+MIS!M28+MGT!M28+FIN!M18+ACC!M28</f>
        <v>5</v>
      </c>
      <c r="N30" s="41">
        <f>'PEN&amp;UND'!N8+MKT!N18+MIS!N28+MGT!N28+FIN!N18+ACC!N28</f>
        <v>5</v>
      </c>
      <c r="O30" s="43">
        <f>'PEN&amp;UND'!O8+MKT!O18+MIS!O28+MGT!O28+FIN!O18+ACC!O28</f>
        <v>4</v>
      </c>
      <c r="P30" s="41">
        <f>'PEN&amp;UND'!P8+HRM!P18+MKT!P18+MIS!P28+MGT!P28+FIN!P18+ACC!P28</f>
        <v>536</v>
      </c>
      <c r="Q30" s="42">
        <f>'PEN&amp;UND'!Q8+HRM!Q18+MKT!Q18+MIS!Q28+MGT!Q28+FIN!Q18+ACC!Q28</f>
        <v>447</v>
      </c>
      <c r="R30" s="44">
        <f>SUM(ACC!R28,FIN!R18,MGT!R28,MIS!R28,MKT!R18,HRM!P18,'PEN&amp;UND'!R8)</f>
        <v>983</v>
      </c>
      <c r="S30" s="90"/>
      <c r="T30" s="90"/>
    </row>
    <row r="31" spans="1:20" ht="12.75" customHeight="1">
      <c r="A31" s="1" t="s">
        <v>50</v>
      </c>
      <c r="B31" s="41">
        <f>'PEN&amp;UND'!B9+HRM!B19+MKT!B19+MIS!B29+MGT!B29+FIN!B19+ACC!B29</f>
        <v>386</v>
      </c>
      <c r="C31" s="42">
        <f>'PEN&amp;UND'!C9+HRM!C19+MKT!C19+MIS!C29+MGT!C29+FIN!C19+ACC!C29</f>
        <v>306</v>
      </c>
      <c r="D31" s="41">
        <f>'PEN&amp;UND'!D9+HRM!D19+MKT!D19+MIS!D29+MGT!D29+FIN!D19+ACC!D29</f>
        <v>74</v>
      </c>
      <c r="E31" s="42">
        <f>'PEN&amp;UND'!E9+HRM!E19+MKT!E19+MIS!E29+MGT!E29+FIN!E19+ACC!E29</f>
        <v>97</v>
      </c>
      <c r="F31" s="41">
        <f>'PEN&amp;UND'!F9+HRM!F19+MKT!F19+MIS!F29+MGT!F29+FIN!F19+ACC!F29</f>
        <v>9</v>
      </c>
      <c r="G31" s="42">
        <f>'PEN&amp;UND'!G9+HRM!G19+MKT!G19+MIS!G29+MGT!G29+FIN!G19+ACC!G29</f>
        <v>4</v>
      </c>
      <c r="H31" s="41">
        <f>'PEN&amp;UND'!H9+HRM!H19+MKT!H19+MIS!H29+MGT!H29+FIN!H19+ACC!H29</f>
        <v>19</v>
      </c>
      <c r="I31" s="42">
        <f>'PEN&amp;UND'!I9+HRM!I19+MKT!I19+MIS!I29+MGT!I29+FIN!I19+ACC!I29</f>
        <v>14</v>
      </c>
      <c r="J31" s="41">
        <f>'PEN&amp;UND'!J9+HRM!J19+MKT!J19+MIS!J29+MGT!J29+FIN!J19+ACC!J29</f>
        <v>7</v>
      </c>
      <c r="K31" s="42">
        <f>'PEN&amp;UND'!K9+HRM!K19+MKT!K19+MIS!K29+MGT!K29+FIN!K19+ACC!K29</f>
        <v>13</v>
      </c>
      <c r="L31" s="41">
        <f>'PEN&amp;UND'!L9+HRM!L19+MKT!L19+MIS!L29+MGT!L29+FIN!L19+ACC!L29</f>
        <v>33</v>
      </c>
      <c r="M31" s="42">
        <f>'PEN&amp;UND'!M9+HRM!M19+MKT!M19+MIS!M29+MGT!M29+FIN!M19+ACC!M29</f>
        <v>7</v>
      </c>
      <c r="N31" s="41">
        <f>'PEN&amp;UND'!N9+MKT!N19+MIS!N29+MGT!N29+FIN!N19+ACC!N29</f>
        <v>6</v>
      </c>
      <c r="O31" s="43">
        <f>'PEN&amp;UND'!O9+MKT!O19+MIS!O29+MGT!O29+FIN!O19+ACC!O29</f>
        <v>3</v>
      </c>
      <c r="P31" s="41">
        <f>'PEN&amp;UND'!P9+HRM!N19+MKT!P19+MIS!P29+MGT!P29+FIN!P19+ACC!P29</f>
        <v>534</v>
      </c>
      <c r="Q31" s="42">
        <f>'PEN&amp;UND'!Q9+HRM!O19+MKT!Q19+MIS!Q29+MGT!Q29+FIN!Q19+ACC!Q29</f>
        <v>444</v>
      </c>
      <c r="R31" s="44">
        <f>SUM(ACC!R29,FIN!R19,MGT!R29,MIS!R29,MKT!R19,HRM!P19,'PEN&amp;UND'!R9)</f>
        <v>978</v>
      </c>
      <c r="S31" s="91"/>
      <c r="T31" s="91"/>
    </row>
    <row r="32" spans="1:20" ht="12.75" customHeight="1">
      <c r="A32" s="1" t="s">
        <v>52</v>
      </c>
      <c r="B32" s="41">
        <f>'PEN&amp;UND'!B10+HRM!B20+MKT!B20+MIS!B30+MGT!B30+FIN!B20+ACC!B30</f>
        <v>386</v>
      </c>
      <c r="C32" s="42">
        <f>'PEN&amp;UND'!C10+HRM!C20+MKT!C20+MIS!C30+MGT!C30+FIN!C20+ACC!C30</f>
        <v>342</v>
      </c>
      <c r="D32" s="41">
        <f>'PEN&amp;UND'!D10+HRM!D20+MKT!D20+MIS!D30+MGT!D30+FIN!D20+ACC!D30</f>
        <v>72</v>
      </c>
      <c r="E32" s="42">
        <f>'PEN&amp;UND'!E10+HRM!E20+MKT!E20+MIS!E30+MGT!E30+FIN!E20+ACC!E30</f>
        <v>121</v>
      </c>
      <c r="F32" s="41">
        <f>'PEN&amp;UND'!F10+HRM!F20+MKT!F20+MIS!F30+MGT!F30+FIN!F20+ACC!F30</f>
        <v>10</v>
      </c>
      <c r="G32" s="42">
        <f>'PEN&amp;UND'!G10+HRM!G20+MKT!G20+MIS!G30+MGT!G30+FIN!G20+ACC!G30</f>
        <v>6</v>
      </c>
      <c r="H32" s="41">
        <f>'PEN&amp;UND'!H10+HRM!H20+MKT!H20+MIS!H30+MGT!H30+FIN!H20+ACC!H30</f>
        <v>18</v>
      </c>
      <c r="I32" s="42">
        <f>'PEN&amp;UND'!I10+HRM!I20+MKT!I20+MIS!I30+MGT!I30+FIN!I20+ACC!I30</f>
        <v>15</v>
      </c>
      <c r="J32" s="41">
        <f>'PEN&amp;UND'!J10+HRM!J20+MKT!J20+MIS!J30+MGT!J30+FIN!J20+ACC!J30</f>
        <v>6</v>
      </c>
      <c r="K32" s="42">
        <f>'PEN&amp;UND'!K10+HRM!K20+MKT!K20+MIS!K30+MGT!K30+FIN!K20+ACC!K30</f>
        <v>10</v>
      </c>
      <c r="L32" s="41">
        <f>'PEN&amp;UND'!L10+HRM!L20+MKT!L20+MIS!L30+MGT!L30+FIN!L20+ACC!L30</f>
        <v>39</v>
      </c>
      <c r="M32" s="42">
        <f>'PEN&amp;UND'!M10+HRM!M20+MKT!M20+MIS!M30+MGT!M30+FIN!M20+ACC!M30</f>
        <v>9</v>
      </c>
      <c r="N32" s="41">
        <f>'PEN&amp;UND'!N10+MKT!N20+MIS!N30+MGT!N30+FIN!N20+ACC!N30</f>
        <v>6</v>
      </c>
      <c r="O32" s="43">
        <f>'PEN&amp;UND'!O10+MKT!O20+MIS!O30+MGT!O30+FIN!O20+ACC!O30</f>
        <v>13</v>
      </c>
      <c r="P32" s="41">
        <f>'PEN&amp;UND'!P10+HRM!N20+MKT!P20+MIS!P30+MGT!P30+FIN!P20+ACC!P30</f>
        <v>537</v>
      </c>
      <c r="Q32" s="42">
        <f>'PEN&amp;UND'!Q10+HRM!O20+MKT!Q20+MIS!Q30+MGT!Q30+FIN!Q20+ACC!Q30</f>
        <v>516</v>
      </c>
      <c r="R32" s="44">
        <f>SUM(ACC!R30,FIN!R20,MGT!R30,MIS!R30,MKT!R20,HRM!P20,'PEN&amp;UND'!R10)</f>
        <v>1053</v>
      </c>
      <c r="S32" s="90"/>
      <c r="T32" s="90"/>
    </row>
    <row r="33" spans="1:20" ht="12.75" customHeight="1">
      <c r="A33" s="1" t="s">
        <v>57</v>
      </c>
      <c r="B33" s="41">
        <f>'PEN&amp;UND'!B11+HRM!B21+MKT!B21+MIS!B31+MGT!B31+FIN!B21+ACC!B31</f>
        <v>383</v>
      </c>
      <c r="C33" s="42">
        <f>'PEN&amp;UND'!C11+HRM!C21+MKT!C21+MIS!C31+MGT!C31+FIN!C21+ACC!C31</f>
        <v>349</v>
      </c>
      <c r="D33" s="41">
        <f>'PEN&amp;UND'!D11+HRM!D21+MKT!D21+MIS!D31+MGT!D31+FIN!D21+ACC!D31</f>
        <v>80</v>
      </c>
      <c r="E33" s="42">
        <f>'PEN&amp;UND'!E11+HRM!E21+MKT!E21+MIS!E31+MGT!E31+FIN!E21+ACC!E31</f>
        <v>108</v>
      </c>
      <c r="F33" s="41">
        <f>'PEN&amp;UND'!F11+HRM!F21+MKT!F21+MIS!F31+MGT!F31+FIN!F21+ACC!F31</f>
        <v>12</v>
      </c>
      <c r="G33" s="42">
        <f>'PEN&amp;UND'!G11+HRM!G21+MKT!G21+MIS!G31+MGT!G31+FIN!G21+ACC!G31</f>
        <v>7</v>
      </c>
      <c r="H33" s="41">
        <f>'PEN&amp;UND'!H11+HRM!H21+MKT!H21+MIS!H31+MGT!H31+FIN!H21+ACC!H31</f>
        <v>17</v>
      </c>
      <c r="I33" s="42">
        <f>'PEN&amp;UND'!I11+HRM!I21+MKT!I21+MIS!I31+MGT!I31+FIN!I21+ACC!I31</f>
        <v>14</v>
      </c>
      <c r="J33" s="41">
        <f>'PEN&amp;UND'!J11+HRM!J21+MKT!J21+MIS!J31+MGT!J31+FIN!J21+ACC!J31</f>
        <v>5</v>
      </c>
      <c r="K33" s="42">
        <f>'PEN&amp;UND'!K11+HRM!K21+MKT!K21+MIS!K31+MGT!K31+FIN!K21+ACC!K31</f>
        <v>10</v>
      </c>
      <c r="L33" s="41">
        <f>'PEN&amp;UND'!L11+HRM!L21+MKT!L21+MIS!L31+MGT!L31+FIN!L21+ACC!L31</f>
        <v>35</v>
      </c>
      <c r="M33" s="42">
        <f>'PEN&amp;UND'!M11+HRM!M21+MKT!M21+MIS!M31+MGT!M31+FIN!M21+ACC!M31</f>
        <v>14</v>
      </c>
      <c r="N33" s="41">
        <f>'PEN&amp;UND'!N11+MKT!N21+MIS!N31+MGT!N31+FIN!N21+ACC!N31</f>
        <v>14</v>
      </c>
      <c r="O33" s="43">
        <f>'PEN&amp;UND'!O11+MKT!O21+MIS!O31+MGT!O31+FIN!O21+ACC!O31</f>
        <v>12</v>
      </c>
      <c r="P33" s="41">
        <f>'PEN&amp;UND'!P11+HRM!N21+MKT!P21+MIS!P31+MGT!P31+FIN!P21+ACC!P31</f>
        <v>546</v>
      </c>
      <c r="Q33" s="42">
        <f>'PEN&amp;UND'!Q11+HRM!O21+MKT!Q21+MIS!Q31+MGT!Q31+FIN!Q21+ACC!Q31</f>
        <v>514</v>
      </c>
      <c r="R33" s="44">
        <f>SUM(ACC!R31,FIN!R21,MGT!R31,MIS!R31,MKT!R21,HRM!P21,'PEN&amp;UND'!R11)</f>
        <v>1060</v>
      </c>
      <c r="S33" s="90"/>
      <c r="T33" s="90"/>
    </row>
    <row r="34" spans="2:20" ht="10.5" customHeight="1">
      <c r="B34" s="12"/>
      <c r="C34" s="13"/>
      <c r="D34" s="12"/>
      <c r="E34" s="13"/>
      <c r="F34" s="12"/>
      <c r="G34" s="13"/>
      <c r="H34" s="12"/>
      <c r="I34" s="13"/>
      <c r="J34" s="21"/>
      <c r="K34" s="21"/>
      <c r="L34" s="12"/>
      <c r="M34" s="13"/>
      <c r="N34" s="12"/>
      <c r="O34" s="13"/>
      <c r="P34" s="12"/>
      <c r="Q34" s="13"/>
      <c r="R34" s="14"/>
      <c r="S34" s="90"/>
      <c r="T34" s="90"/>
    </row>
    <row r="35" spans="19:20" ht="10.5" customHeight="1">
      <c r="S35" s="90"/>
      <c r="T35" s="90"/>
    </row>
    <row r="36" spans="1:20" ht="12.75" customHeight="1">
      <c r="A36" s="1" t="s">
        <v>17</v>
      </c>
      <c r="S36" s="90"/>
      <c r="T36" s="90"/>
    </row>
    <row r="37" spans="1:20" s="26" customFormat="1" ht="12.75" customHeight="1">
      <c r="A37" s="1" t="s">
        <v>11</v>
      </c>
      <c r="B37" s="35" t="s">
        <v>1</v>
      </c>
      <c r="C37" s="36"/>
      <c r="D37" s="35" t="s">
        <v>2</v>
      </c>
      <c r="E37" s="36"/>
      <c r="F37" s="35" t="s">
        <v>3</v>
      </c>
      <c r="G37" s="36"/>
      <c r="H37" s="35" t="s">
        <v>4</v>
      </c>
      <c r="I37" s="36"/>
      <c r="J37" s="35" t="s">
        <v>5</v>
      </c>
      <c r="K37" s="36"/>
      <c r="L37" s="93" t="s">
        <v>6</v>
      </c>
      <c r="M37" s="94"/>
      <c r="N37" s="35" t="s">
        <v>38</v>
      </c>
      <c r="O37" s="36"/>
      <c r="P37" s="35" t="s">
        <v>7</v>
      </c>
      <c r="Q37" s="36"/>
      <c r="R37" s="30" t="s">
        <v>8</v>
      </c>
      <c r="S37" s="90"/>
      <c r="T37" s="90"/>
    </row>
    <row r="38" spans="1:20" s="26" customFormat="1" ht="12.75" customHeight="1">
      <c r="A38" s="53" t="s">
        <v>12</v>
      </c>
      <c r="B38" s="31" t="s">
        <v>9</v>
      </c>
      <c r="C38" s="34" t="s">
        <v>10</v>
      </c>
      <c r="D38" s="31" t="s">
        <v>9</v>
      </c>
      <c r="E38" s="34" t="s">
        <v>10</v>
      </c>
      <c r="F38" s="31" t="s">
        <v>9</v>
      </c>
      <c r="G38" s="34" t="s">
        <v>10</v>
      </c>
      <c r="H38" s="31" t="s">
        <v>9</v>
      </c>
      <c r="I38" s="34" t="s">
        <v>10</v>
      </c>
      <c r="J38" s="31" t="s">
        <v>9</v>
      </c>
      <c r="K38" s="34" t="s">
        <v>10</v>
      </c>
      <c r="L38" s="31" t="s">
        <v>9</v>
      </c>
      <c r="M38" s="34" t="s">
        <v>10</v>
      </c>
      <c r="N38" s="31" t="s">
        <v>9</v>
      </c>
      <c r="O38" s="34" t="s">
        <v>10</v>
      </c>
      <c r="P38" s="31" t="s">
        <v>9</v>
      </c>
      <c r="Q38" s="34" t="s">
        <v>10</v>
      </c>
      <c r="R38" s="32" t="s">
        <v>7</v>
      </c>
      <c r="S38" s="90"/>
      <c r="T38" s="90"/>
    </row>
    <row r="39" spans="1:20" ht="10.5" customHeight="1">
      <c r="A39" s="1"/>
      <c r="B39" s="7"/>
      <c r="C39" s="8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5"/>
      <c r="S39" s="90"/>
      <c r="T39" s="90"/>
    </row>
    <row r="40" spans="1:20" ht="12.75" customHeight="1">
      <c r="A40" s="1" t="s">
        <v>42</v>
      </c>
      <c r="B40" s="41">
        <f>MGT!B38+ACC!B38+MIS!B38</f>
        <v>78</v>
      </c>
      <c r="C40" s="43">
        <f>MGT!C38+ACC!C38+MIS!C38</f>
        <v>59</v>
      </c>
      <c r="D40" s="42">
        <f>MGT!D38+ACC!D38+MIS!D38</f>
        <v>3</v>
      </c>
      <c r="E40" s="43">
        <f>MGT!E38+ACC!E38+MIS!E38</f>
        <v>10</v>
      </c>
      <c r="F40" s="42">
        <f>MGT!F38+ACC!F38+MIS!F38</f>
        <v>2</v>
      </c>
      <c r="G40" s="43">
        <f>MGT!G38+ACC!G38+MIS!G38</f>
        <v>2</v>
      </c>
      <c r="H40" s="42">
        <f>MGT!H38+ACC!H38+MIS!H38</f>
        <v>4</v>
      </c>
      <c r="I40" s="43">
        <f>MGT!I38+ACC!I38+MIS!I38</f>
        <v>3</v>
      </c>
      <c r="J40" s="42">
        <f>MGT!J38+ACC!J38+MIS!J38</f>
        <v>1</v>
      </c>
      <c r="K40" s="43">
        <f>MGT!K38+ACC!K38+MIS!K38</f>
        <v>0</v>
      </c>
      <c r="L40" s="41">
        <f>MGT!L38+ACC!L38+MIS!L38+IAMI!L17</f>
        <v>4</v>
      </c>
      <c r="M40" s="42">
        <f>MGT!M38+ACC!M38+MIS!M38+IAMI!M17</f>
        <v>9</v>
      </c>
      <c r="N40" s="41">
        <f>SUM(ACC!N38,MGT!N38,MIS!N38)</f>
        <v>1</v>
      </c>
      <c r="O40" s="43">
        <f>SUM(ACC!O38,MGT!O38,MIS!O38)</f>
        <v>0</v>
      </c>
      <c r="P40" s="41">
        <f>SUM(ACC!P38,MGT!P38,MIS!P38,IAMI!N17)</f>
        <v>94</v>
      </c>
      <c r="Q40" s="43">
        <f>SUM(ACC!Q38,MGT!Q38,MIS!Q38,IAMI!O17)</f>
        <v>83</v>
      </c>
      <c r="R40" s="44">
        <f>SUM(ACC!R38,MGT!R38,MIS!R38,IAMI!P17)</f>
        <v>177</v>
      </c>
      <c r="S40" s="90"/>
      <c r="T40" s="90"/>
    </row>
    <row r="41" spans="1:20" ht="12.75" customHeight="1">
      <c r="A41" s="1" t="s">
        <v>49</v>
      </c>
      <c r="B41" s="41">
        <f>SUM(ACC!B39,MGT!B39,MIS!B39)</f>
        <v>62</v>
      </c>
      <c r="C41" s="43">
        <f>MGT!C39+ACC!C39+MIS!C39</f>
        <v>45</v>
      </c>
      <c r="D41" s="42">
        <f>MGT!D39+ACC!D39+MIS!D39</f>
        <v>4</v>
      </c>
      <c r="E41" s="43">
        <f>MGT!E39+ACC!E39+MIS!E39</f>
        <v>8</v>
      </c>
      <c r="F41" s="42">
        <f>MGT!F39+ACC!F39+MIS!F39</f>
        <v>1</v>
      </c>
      <c r="G41" s="43">
        <f>MGT!G39+ACC!G39+MIS!G39</f>
        <v>2</v>
      </c>
      <c r="H41" s="42">
        <f>MGT!H39+ACC!H39+MIS!H39</f>
        <v>3</v>
      </c>
      <c r="I41" s="43">
        <f>MGT!I39+ACC!I39+MIS!I39</f>
        <v>1</v>
      </c>
      <c r="J41" s="42">
        <f>MGT!J39+ACC!J39+MIS!J39</f>
        <v>2</v>
      </c>
      <c r="K41" s="43">
        <f>MGT!K39+ACC!K39+MIS!K39</f>
        <v>1</v>
      </c>
      <c r="L41" s="41">
        <f>MGT!L39+ACC!L39+MIS!L39+IAMI!L18</f>
        <v>3</v>
      </c>
      <c r="M41" s="42">
        <f>MGT!M39+ACC!M39+MIS!M39+IAMI!M18</f>
        <v>8</v>
      </c>
      <c r="N41" s="41">
        <f>SUM(ACC!N39,MGT!N39,MIS!N39)</f>
        <v>1</v>
      </c>
      <c r="O41" s="43">
        <f>SUM(ACC!O39,MGT!O39,MIS!O39)</f>
        <v>0</v>
      </c>
      <c r="P41" s="41">
        <f>SUM(ACC!P39,MGT!P39,MIS!P39,IAMI!N18)</f>
        <v>90</v>
      </c>
      <c r="Q41" s="43">
        <f>SUM(ACC!Q39,MGT!Q39,MIS!Q39,IAMI!O18)</f>
        <v>70</v>
      </c>
      <c r="R41" s="44">
        <f>SUM(ACC!R39,MGT!R39,MIS!R39,IAMI!P18)</f>
        <v>160</v>
      </c>
      <c r="S41" s="90"/>
      <c r="T41" s="90"/>
    </row>
    <row r="42" spans="1:20" ht="12.75" customHeight="1">
      <c r="A42" s="1" t="s">
        <v>50</v>
      </c>
      <c r="B42" s="41">
        <f>SUM(ACC!B40,MGT!B40,MIS!B40,IAMI!B19)</f>
        <v>93</v>
      </c>
      <c r="C42" s="43">
        <f>SUM(ACC!C40,MGT!C40,MIS!C40,IAMI!C19)</f>
        <v>58</v>
      </c>
      <c r="D42" s="42">
        <f>SUM(ACC!D40,MGT!D40,MIS!D40,IAMI!D19)</f>
        <v>7</v>
      </c>
      <c r="E42" s="43">
        <f>SUM(ACC!E40,MGT!E40,MIS!E40,IAMI!E19)</f>
        <v>11</v>
      </c>
      <c r="F42" s="42">
        <f>SUM(ACC!F40,MGT!F40,MIS!F40,IAMI!F19)</f>
        <v>2</v>
      </c>
      <c r="G42" s="43">
        <f>SUM(ACC!G40,MGT!G40,MIS!G40,IAMI!G19)</f>
        <v>2</v>
      </c>
      <c r="H42" s="42">
        <f>SUM(ACC!H40,MGT!H40,MIS!H40,IAMI!H19)</f>
        <v>5</v>
      </c>
      <c r="I42" s="43">
        <f>SUM(ACC!I40,MGT!I40,MIS!I40,IAMI!I19)</f>
        <v>3</v>
      </c>
      <c r="J42" s="42">
        <f>SUM(ACC!J40,MGT!J40,MIS!J40,IAMI!J19)</f>
        <v>2</v>
      </c>
      <c r="K42" s="43">
        <f>SUM(ACC!K40,MGT!K40,MIS!K40,IAMI!K19)</f>
        <v>2</v>
      </c>
      <c r="L42" s="41">
        <f>SUM(ACC!L40,MGT!L40,MIS!L40,IAMI!L19)</f>
        <v>7</v>
      </c>
      <c r="M42" s="42">
        <f>SUM(ACC!M40,MGT!M40,MIS!M40,IAMI!M19)</f>
        <v>4</v>
      </c>
      <c r="N42" s="41">
        <f>SUM(ACC!N40,MGT!N40,MIS!N40)</f>
        <v>1</v>
      </c>
      <c r="O42" s="43">
        <f>SUM(ACC!O40,MGT!O40,MIS!O40,IAMI!O19)</f>
        <v>4</v>
      </c>
      <c r="P42" s="41">
        <f>SUM(ACC!P40,MGT!P40,MIS!P40,IAMI!N19)</f>
        <v>117</v>
      </c>
      <c r="Q42" s="43">
        <f>SUM(ACC!Q40,MGT!Q40,MIS!Q40,IAMI!O19)</f>
        <v>80</v>
      </c>
      <c r="R42" s="44">
        <f>SUM(ACC!R40,MGT!R40,MIS!R40,IAMI!P19)</f>
        <v>197</v>
      </c>
      <c r="S42" s="91"/>
      <c r="T42" s="91"/>
    </row>
    <row r="43" spans="1:20" ht="12.75" customHeight="1">
      <c r="A43" s="1" t="s">
        <v>52</v>
      </c>
      <c r="B43" s="89">
        <f>SUM(ACC!B41,MGT!B41,MIS!B41,IAMI!B20)</f>
        <v>127</v>
      </c>
      <c r="C43" s="43">
        <f>SUM(ACC!C41,MGT!C41,MIS!C41,IAMI!C20)</f>
        <v>74</v>
      </c>
      <c r="D43" s="42">
        <f>SUM(ACC!D41,MGT!D41,MIS!D41,IAMI!D20)</f>
        <v>10</v>
      </c>
      <c r="E43" s="43">
        <f>SUM(ACC!E41,MGT!E41,MIS!E41,IAMI!E20)</f>
        <v>12</v>
      </c>
      <c r="F43" s="42">
        <f>SUM(ACC!F41,MGT!F41,MIS!F41,IAMI!F20)</f>
        <v>2</v>
      </c>
      <c r="G43" s="43">
        <f>SUM(ACC!G41,MGT!G41,MIS!G41,IAMI!G20)</f>
        <v>4</v>
      </c>
      <c r="H43" s="42">
        <f>SUM(ACC!H41,MGT!H41,MIS!H41,IAMI!H20)</f>
        <v>7</v>
      </c>
      <c r="I43" s="43">
        <f>SUM(ACC!I41,MGT!I41,MIS!I41,IAMI!I20)</f>
        <v>4</v>
      </c>
      <c r="J43" s="42">
        <f>SUM(ACC!J41,MGT!J41,MIS!J41,IAMI!J20)</f>
        <v>0</v>
      </c>
      <c r="K43" s="43">
        <f>SUM(ACC!K41,MGT!K41,MIS!K41,IAMI!K20)</f>
        <v>1</v>
      </c>
      <c r="L43" s="41">
        <f>SUM(ACC!L41,MGT!L41,MIS!L41,IAMI!L20)</f>
        <v>9</v>
      </c>
      <c r="M43" s="42">
        <f>SUM(ACC!M41,MGT!M41,MIS!M41,IAMI!M20)</f>
        <v>3</v>
      </c>
      <c r="N43" s="41">
        <f>SUM(ACC!N41,MGT!N41,MIS!N41)</f>
        <v>1</v>
      </c>
      <c r="O43" s="43">
        <f>SUM(ACC!O41,MGT!O41,MIS!O41)</f>
        <v>1</v>
      </c>
      <c r="P43" s="41">
        <f>SUM(ACC!P41,MGT!P41,MIS!P41,IAMI!N20)</f>
        <v>156</v>
      </c>
      <c r="Q43" s="43">
        <f>SUM(ACC!Q41,MGT!Q41,MIS!Q41,IAMI!O20)</f>
        <v>99</v>
      </c>
      <c r="R43" s="44">
        <f>SUM(ACC!R41,MGT!R41,MIS!R41,IAMI!P20)</f>
        <v>255</v>
      </c>
      <c r="S43" s="90"/>
      <c r="T43" s="90"/>
    </row>
    <row r="44" spans="1:20" ht="12.75" customHeight="1">
      <c r="A44" s="1" t="s">
        <v>57</v>
      </c>
      <c r="B44" s="89">
        <f>SUM(ACC!B42,MGT!B42,MIS!B42,IAMI!B21)</f>
        <v>138</v>
      </c>
      <c r="C44" s="43">
        <f>SUM(ACC!C42,MGT!C42,MIS!C42,IAMI!C21)</f>
        <v>82</v>
      </c>
      <c r="D44" s="42">
        <f>SUM(ACC!D42,MGT!D42,MIS!D42,IAMI!D21)</f>
        <v>13</v>
      </c>
      <c r="E44" s="43">
        <f>SUM(ACC!E42,MGT!E42,MIS!E42,IAMI!E21)</f>
        <v>11</v>
      </c>
      <c r="F44" s="42">
        <f>SUM(ACC!F42,MGT!F42,MIS!F42,IAMI!F21)</f>
        <v>0</v>
      </c>
      <c r="G44" s="43">
        <f>SUM(ACC!G42,MGT!G42,MIS!G42,IAMI!G21)</f>
        <v>3</v>
      </c>
      <c r="H44" s="42">
        <f>SUM(ACC!H42,MGT!H42,MIS!H42,IAMI!H21)</f>
        <v>5</v>
      </c>
      <c r="I44" s="43">
        <f>SUM(ACC!I42,MGT!I42,MIS!I42,IAMI!I21)</f>
        <v>4</v>
      </c>
      <c r="J44" s="42">
        <f>SUM(ACC!J42,MGT!J42,MIS!J42,IAMI!J21)</f>
        <v>2</v>
      </c>
      <c r="K44" s="43">
        <f>SUM(ACC!K42,MGT!K42,MIS!K42,IAMI!K21)</f>
        <v>5</v>
      </c>
      <c r="L44" s="41">
        <f>SUM(ACC!L42,MGT!L42,MIS!L42,IAMI!L21)</f>
        <v>15</v>
      </c>
      <c r="M44" s="42">
        <f>SUM(ACC!M42,MGT!M42,MIS!M42,IAMI!M21)</f>
        <v>9</v>
      </c>
      <c r="N44" s="41">
        <f>SUM(ACC!N42,MGT!N42,MIS!N42)</f>
        <v>2</v>
      </c>
      <c r="O44" s="43">
        <f>SUM(ACC!O42,MGT!O42,MIS!O42)</f>
        <v>2</v>
      </c>
      <c r="P44" s="41">
        <f>SUM(ACC!P42,MGT!P42,MIS!P42,IAMI!N21)</f>
        <v>175</v>
      </c>
      <c r="Q44" s="43">
        <f>SUM(ACC!Q42,MGT!Q42,MIS!Q42,IAMI!O21)</f>
        <v>116</v>
      </c>
      <c r="R44" s="44">
        <f>SUM(ACC!R42,MGT!R42,MIS!R42,IAMI!P21)</f>
        <v>291</v>
      </c>
      <c r="S44" s="90"/>
      <c r="T44" s="90"/>
    </row>
    <row r="45" spans="2:18" ht="10.5" customHeight="1">
      <c r="B45" s="12"/>
      <c r="C45" s="13"/>
      <c r="D45" s="12"/>
      <c r="E45" s="13"/>
      <c r="F45" s="12"/>
      <c r="G45" s="13"/>
      <c r="H45" s="12"/>
      <c r="I45" s="13"/>
      <c r="J45" s="21"/>
      <c r="K45" s="21"/>
      <c r="L45" s="12"/>
      <c r="M45" s="13"/>
      <c r="N45" s="12"/>
      <c r="O45" s="13"/>
      <c r="P45" s="12"/>
      <c r="Q45" s="13"/>
      <c r="R45" s="14"/>
    </row>
    <row r="49" ht="12.75" customHeight="1">
      <c r="A49" s="73" t="s">
        <v>58</v>
      </c>
    </row>
  </sheetData>
  <mergeCells count="4">
    <mergeCell ref="L5:M5"/>
    <mergeCell ref="L15:M15"/>
    <mergeCell ref="L26:M26"/>
    <mergeCell ref="L37:M37"/>
  </mergeCells>
  <printOptions horizontalCentered="1"/>
  <pageMargins left="0.25" right="0.25" top="1" bottom="0.75" header="0.5" footer="0.25"/>
  <pageSetup fitToHeight="1" fitToWidth="1" horizontalDpi="300" verticalDpi="300" orientation="landscape" scale="80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P26"/>
  <sheetViews>
    <sheetView workbookViewId="0" topLeftCell="A1">
      <selection activeCell="A14" sqref="A14"/>
    </sheetView>
  </sheetViews>
  <sheetFormatPr defaultColWidth="9.140625" defaultRowHeight="12.75"/>
  <cols>
    <col min="1" max="1" width="18.57421875" style="0" customWidth="1"/>
    <col min="2" max="4" width="6.7109375" style="0" customWidth="1"/>
    <col min="5" max="5" width="7.421875" style="0" customWidth="1"/>
    <col min="6" max="8" width="6.7109375" style="0" customWidth="1"/>
    <col min="9" max="9" width="8.28125" style="0" customWidth="1"/>
    <col min="10" max="10" width="6.7109375" style="0" customWidth="1"/>
    <col min="11" max="11" width="8.28125" style="0" customWidth="1"/>
    <col min="12" max="12" width="6.7109375" style="0" customWidth="1"/>
    <col min="13" max="13" width="8.28125" style="0" customWidth="1"/>
    <col min="14" max="14" width="6.00390625" style="0" customWidth="1"/>
    <col min="15" max="15" width="5.8515625" style="0" customWidth="1"/>
    <col min="16" max="16" width="6.7109375" style="0" customWidth="1"/>
  </cols>
  <sheetData>
    <row r="1" spans="1:5" ht="12.75">
      <c r="A1" s="67" t="s">
        <v>35</v>
      </c>
      <c r="B1" s="61"/>
      <c r="C1" s="61"/>
      <c r="D1" s="61"/>
      <c r="E1" s="61"/>
    </row>
    <row r="3" spans="1:16" ht="12.75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35" t="s">
        <v>7</v>
      </c>
      <c r="O3" s="36"/>
      <c r="P3" s="30" t="s">
        <v>8</v>
      </c>
    </row>
    <row r="4" spans="1:16" ht="12.75">
      <c r="A4" s="1" t="s">
        <v>59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2" t="s">
        <v>7</v>
      </c>
    </row>
    <row r="5" spans="1:16" ht="12.75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0"/>
    </row>
    <row r="6" spans="1:16" ht="12.75">
      <c r="A6" s="1" t="s">
        <v>42</v>
      </c>
      <c r="B6" s="41">
        <v>0</v>
      </c>
      <c r="C6" s="42">
        <v>1</v>
      </c>
      <c r="D6" s="41">
        <v>0</v>
      </c>
      <c r="E6" s="42">
        <v>0</v>
      </c>
      <c r="F6" s="41">
        <v>0</v>
      </c>
      <c r="G6" s="42">
        <v>0</v>
      </c>
      <c r="H6" s="41">
        <v>1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1">
        <f aca="true" t="shared" si="0" ref="N6:O10">L6+J6+H6+F6+D6+B6</f>
        <v>1</v>
      </c>
      <c r="O6" s="42">
        <f t="shared" si="0"/>
        <v>1</v>
      </c>
      <c r="P6" s="44">
        <f>O6+N6</f>
        <v>2</v>
      </c>
    </row>
    <row r="7" spans="1:16" ht="12.75">
      <c r="A7" s="1" t="s">
        <v>49</v>
      </c>
      <c r="B7" s="41">
        <v>0</v>
      </c>
      <c r="C7" s="42">
        <v>0</v>
      </c>
      <c r="D7" s="41">
        <v>0</v>
      </c>
      <c r="E7" s="42">
        <v>0</v>
      </c>
      <c r="F7" s="41">
        <v>0</v>
      </c>
      <c r="G7" s="42">
        <v>0</v>
      </c>
      <c r="H7" s="41">
        <v>0</v>
      </c>
      <c r="I7" s="42">
        <v>0</v>
      </c>
      <c r="J7" s="41">
        <v>0</v>
      </c>
      <c r="K7" s="42">
        <v>0</v>
      </c>
      <c r="L7" s="41">
        <v>0</v>
      </c>
      <c r="M7" s="42">
        <v>0</v>
      </c>
      <c r="N7" s="41">
        <f t="shared" si="0"/>
        <v>0</v>
      </c>
      <c r="O7" s="42">
        <f t="shared" si="0"/>
        <v>0</v>
      </c>
      <c r="P7" s="44">
        <f>O7+N7</f>
        <v>0</v>
      </c>
    </row>
    <row r="8" spans="1:16" ht="12.75">
      <c r="A8" s="1" t="s">
        <v>50</v>
      </c>
      <c r="B8" s="41">
        <v>0</v>
      </c>
      <c r="C8" s="42">
        <v>0</v>
      </c>
      <c r="D8" s="41">
        <v>0</v>
      </c>
      <c r="E8" s="42">
        <v>0</v>
      </c>
      <c r="F8" s="41">
        <v>0</v>
      </c>
      <c r="G8" s="42">
        <v>0</v>
      </c>
      <c r="H8" s="41">
        <v>0</v>
      </c>
      <c r="I8" s="42">
        <v>0</v>
      </c>
      <c r="J8" s="41">
        <v>0</v>
      </c>
      <c r="K8" s="42">
        <v>0</v>
      </c>
      <c r="L8" s="41">
        <v>0</v>
      </c>
      <c r="M8" s="42">
        <v>0</v>
      </c>
      <c r="N8" s="41">
        <f t="shared" si="0"/>
        <v>0</v>
      </c>
      <c r="O8" s="42">
        <f t="shared" si="0"/>
        <v>0</v>
      </c>
      <c r="P8" s="44">
        <f>O8+N8</f>
        <v>0</v>
      </c>
    </row>
    <row r="9" spans="1:16" ht="12.75">
      <c r="A9" s="1" t="s">
        <v>52</v>
      </c>
      <c r="B9" s="41">
        <v>0</v>
      </c>
      <c r="C9" s="42">
        <v>0</v>
      </c>
      <c r="D9" s="41">
        <v>0</v>
      </c>
      <c r="E9" s="42">
        <v>1</v>
      </c>
      <c r="F9" s="41">
        <v>0</v>
      </c>
      <c r="G9" s="42">
        <v>0</v>
      </c>
      <c r="H9" s="41">
        <v>0</v>
      </c>
      <c r="I9" s="42">
        <v>0</v>
      </c>
      <c r="J9" s="41">
        <v>0</v>
      </c>
      <c r="K9" s="42">
        <v>0</v>
      </c>
      <c r="L9" s="41">
        <v>0</v>
      </c>
      <c r="M9" s="42">
        <v>0</v>
      </c>
      <c r="N9" s="41">
        <f t="shared" si="0"/>
        <v>0</v>
      </c>
      <c r="O9" s="42">
        <f t="shared" si="0"/>
        <v>1</v>
      </c>
      <c r="P9" s="44">
        <f>O9+N9</f>
        <v>1</v>
      </c>
    </row>
    <row r="10" spans="1:16" ht="12.75">
      <c r="A10" s="1" t="s">
        <v>57</v>
      </c>
      <c r="B10" s="41">
        <v>1</v>
      </c>
      <c r="C10" s="42">
        <v>0</v>
      </c>
      <c r="D10" s="41">
        <v>0</v>
      </c>
      <c r="E10" s="42">
        <v>1</v>
      </c>
      <c r="F10" s="41">
        <v>0</v>
      </c>
      <c r="G10" s="42">
        <v>0</v>
      </c>
      <c r="H10" s="41">
        <v>0</v>
      </c>
      <c r="I10" s="42">
        <v>0</v>
      </c>
      <c r="J10" s="41">
        <v>0</v>
      </c>
      <c r="K10" s="42">
        <v>0</v>
      </c>
      <c r="L10" s="41">
        <v>0</v>
      </c>
      <c r="M10" s="42">
        <v>0</v>
      </c>
      <c r="N10" s="41">
        <f t="shared" si="0"/>
        <v>1</v>
      </c>
      <c r="O10" s="42">
        <f t="shared" si="0"/>
        <v>1</v>
      </c>
      <c r="P10" s="44">
        <f>O10+N10</f>
        <v>2</v>
      </c>
    </row>
    <row r="11" spans="1:16" ht="12.75">
      <c r="A11" s="53"/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8"/>
    </row>
    <row r="13" ht="12.75">
      <c r="A13" s="88" t="s">
        <v>13</v>
      </c>
    </row>
    <row r="14" spans="1:16" ht="12.75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35" t="s">
        <v>6</v>
      </c>
      <c r="M14" s="36"/>
      <c r="N14" s="35" t="s">
        <v>7</v>
      </c>
      <c r="O14" s="36"/>
      <c r="P14" s="30" t="s">
        <v>8</v>
      </c>
    </row>
    <row r="15" spans="1:16" ht="12.75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2" t="s">
        <v>7</v>
      </c>
    </row>
    <row r="16" spans="1:16" ht="12.75">
      <c r="A16" s="1"/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10"/>
    </row>
    <row r="17" spans="1:16" ht="12.75">
      <c r="A17" s="1" t="s">
        <v>42</v>
      </c>
      <c r="B17" s="41">
        <v>0</v>
      </c>
      <c r="C17" s="43">
        <v>1</v>
      </c>
      <c r="D17" s="41">
        <v>0</v>
      </c>
      <c r="E17" s="43">
        <v>0</v>
      </c>
      <c r="F17" s="41">
        <v>0</v>
      </c>
      <c r="G17" s="43">
        <v>0</v>
      </c>
      <c r="H17" s="41">
        <v>0</v>
      </c>
      <c r="I17" s="43">
        <v>0</v>
      </c>
      <c r="J17" s="41">
        <v>0</v>
      </c>
      <c r="K17" s="43">
        <v>0</v>
      </c>
      <c r="L17" s="41">
        <v>0</v>
      </c>
      <c r="M17" s="43">
        <v>0</v>
      </c>
      <c r="N17" s="41">
        <f aca="true" t="shared" si="1" ref="N17:O19">L17+J17+H17+F17+D17+B17</f>
        <v>0</v>
      </c>
      <c r="O17" s="43">
        <f t="shared" si="1"/>
        <v>1</v>
      </c>
      <c r="P17" s="43">
        <f>SUM(O17,N17)</f>
        <v>1</v>
      </c>
    </row>
    <row r="18" spans="1:16" ht="12.75">
      <c r="A18" s="1" t="s">
        <v>49</v>
      </c>
      <c r="B18" s="41">
        <v>0</v>
      </c>
      <c r="C18" s="43">
        <v>0</v>
      </c>
      <c r="D18" s="41">
        <v>0</v>
      </c>
      <c r="E18" s="43">
        <v>0</v>
      </c>
      <c r="F18" s="41">
        <v>0</v>
      </c>
      <c r="G18" s="43">
        <v>0</v>
      </c>
      <c r="H18" s="41">
        <v>0</v>
      </c>
      <c r="I18" s="43">
        <v>0</v>
      </c>
      <c r="J18" s="41">
        <v>0</v>
      </c>
      <c r="K18" s="43">
        <v>0</v>
      </c>
      <c r="L18" s="41">
        <v>0</v>
      </c>
      <c r="M18" s="43">
        <v>0</v>
      </c>
      <c r="N18" s="41">
        <f t="shared" si="1"/>
        <v>0</v>
      </c>
      <c r="O18" s="43">
        <f t="shared" si="1"/>
        <v>0</v>
      </c>
      <c r="P18" s="43">
        <f>SUM(O18,N18)</f>
        <v>0</v>
      </c>
    </row>
    <row r="19" spans="1:16" ht="12.75">
      <c r="A19" s="1" t="s">
        <v>50</v>
      </c>
      <c r="B19" s="41">
        <v>0</v>
      </c>
      <c r="C19" s="43">
        <v>0</v>
      </c>
      <c r="D19" s="41">
        <v>0</v>
      </c>
      <c r="E19" s="43">
        <v>0</v>
      </c>
      <c r="F19" s="41">
        <v>0</v>
      </c>
      <c r="G19" s="43">
        <v>0</v>
      </c>
      <c r="H19" s="41">
        <v>0</v>
      </c>
      <c r="I19" s="43">
        <v>0</v>
      </c>
      <c r="J19" s="41">
        <v>0</v>
      </c>
      <c r="K19" s="43">
        <v>0</v>
      </c>
      <c r="L19" s="41">
        <v>0</v>
      </c>
      <c r="M19" s="43">
        <v>0</v>
      </c>
      <c r="N19" s="41">
        <f t="shared" si="1"/>
        <v>0</v>
      </c>
      <c r="O19" s="43">
        <f t="shared" si="1"/>
        <v>0</v>
      </c>
      <c r="P19" s="43">
        <f>SUM(O19,N19)</f>
        <v>0</v>
      </c>
    </row>
    <row r="20" spans="1:16" ht="12.75">
      <c r="A20" s="1" t="s">
        <v>52</v>
      </c>
      <c r="B20" s="41">
        <v>0</v>
      </c>
      <c r="C20" s="43">
        <v>0</v>
      </c>
      <c r="D20" s="41">
        <v>0</v>
      </c>
      <c r="E20" s="43">
        <v>1</v>
      </c>
      <c r="F20" s="41">
        <v>0</v>
      </c>
      <c r="G20" s="43">
        <v>0</v>
      </c>
      <c r="H20" s="41">
        <v>0</v>
      </c>
      <c r="I20" s="43">
        <v>0</v>
      </c>
      <c r="J20" s="41">
        <v>0</v>
      </c>
      <c r="K20" s="43">
        <v>0</v>
      </c>
      <c r="L20" s="41">
        <v>0</v>
      </c>
      <c r="M20" s="43">
        <v>0</v>
      </c>
      <c r="N20" s="41">
        <v>0</v>
      </c>
      <c r="O20" s="43">
        <f>M20+K20+I20+G20+E20+C20</f>
        <v>1</v>
      </c>
      <c r="P20" s="43">
        <f>SUM(O20,N20)</f>
        <v>1</v>
      </c>
    </row>
    <row r="21" spans="1:16" ht="12.75">
      <c r="A21" s="1" t="s">
        <v>57</v>
      </c>
      <c r="B21" s="41">
        <v>0</v>
      </c>
      <c r="C21" s="43">
        <v>2</v>
      </c>
      <c r="D21" s="41">
        <v>0</v>
      </c>
      <c r="E21" s="43">
        <v>1</v>
      </c>
      <c r="F21" s="41">
        <v>0</v>
      </c>
      <c r="G21" s="43">
        <v>0</v>
      </c>
      <c r="H21" s="41">
        <v>0</v>
      </c>
      <c r="I21" s="43">
        <v>0</v>
      </c>
      <c r="J21" s="41">
        <v>0</v>
      </c>
      <c r="K21" s="43">
        <v>0</v>
      </c>
      <c r="L21" s="41">
        <v>0</v>
      </c>
      <c r="M21" s="43">
        <v>0</v>
      </c>
      <c r="N21" s="41">
        <v>0</v>
      </c>
      <c r="O21" s="43">
        <f>M21+K21+I21+G21+E21+C21</f>
        <v>3</v>
      </c>
      <c r="P21" s="43">
        <f>SUM(O21,N21)</f>
        <v>3</v>
      </c>
    </row>
    <row r="22" spans="2:16" ht="12.75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4"/>
    </row>
    <row r="24" ht="12.75">
      <c r="A24" s="73"/>
    </row>
    <row r="25" spans="1:10" ht="12.75">
      <c r="A25" s="26"/>
      <c r="B25" s="2"/>
      <c r="C25" s="2"/>
      <c r="D25" s="2"/>
      <c r="E25" s="2"/>
      <c r="F25" s="2"/>
      <c r="G25" s="2"/>
      <c r="H25" s="2"/>
      <c r="I25" s="2"/>
      <c r="J25" s="2"/>
    </row>
    <row r="26" ht="12.75">
      <c r="A26" s="2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4" width="12.7109375" style="0" customWidth="1"/>
  </cols>
  <sheetData>
    <row r="1" spans="1:4" ht="12.75">
      <c r="A1" s="18" t="s">
        <v>45</v>
      </c>
      <c r="B1" s="11"/>
      <c r="C1" s="11"/>
      <c r="D1" s="11"/>
    </row>
    <row r="2" spans="1:4" ht="12.75">
      <c r="A2" s="26"/>
      <c r="B2" s="2"/>
      <c r="C2" s="2"/>
      <c r="D2" s="2"/>
    </row>
    <row r="3" spans="1:4" ht="12.75">
      <c r="A3" s="1" t="s">
        <v>13</v>
      </c>
      <c r="B3" s="2"/>
      <c r="C3" s="2"/>
      <c r="D3" s="2"/>
    </row>
    <row r="4" spans="1:4" ht="12.75">
      <c r="A4" s="1" t="s">
        <v>11</v>
      </c>
      <c r="B4" s="33" t="s">
        <v>16</v>
      </c>
      <c r="C4" s="33" t="s">
        <v>14</v>
      </c>
      <c r="D4" s="33" t="s">
        <v>15</v>
      </c>
    </row>
    <row r="5" spans="1:4" ht="12.75">
      <c r="A5" s="26"/>
      <c r="B5" s="10"/>
      <c r="C5" s="10"/>
      <c r="D5" s="10"/>
    </row>
    <row r="6" spans="1:4" ht="12.75">
      <c r="A6" s="1" t="s">
        <v>42</v>
      </c>
      <c r="B6" s="9">
        <v>1</v>
      </c>
      <c r="C6" s="9">
        <f>+HRM!P17</f>
        <v>1</v>
      </c>
      <c r="D6" s="9">
        <v>0</v>
      </c>
    </row>
    <row r="7" spans="1:4" ht="12.75">
      <c r="A7" s="1" t="s">
        <v>49</v>
      </c>
      <c r="B7" s="9">
        <v>0</v>
      </c>
      <c r="C7" s="9">
        <f>+HRM!P18</f>
        <v>0</v>
      </c>
      <c r="D7" s="9">
        <v>0</v>
      </c>
    </row>
    <row r="8" spans="1:4" ht="12.75">
      <c r="A8" s="1" t="s">
        <v>50</v>
      </c>
      <c r="B8" s="9">
        <v>4</v>
      </c>
      <c r="C8" s="9">
        <f>+HRM!P19</f>
        <v>0</v>
      </c>
      <c r="D8" s="9">
        <v>1</v>
      </c>
    </row>
    <row r="9" spans="1:4" ht="12.75">
      <c r="A9" s="1" t="s">
        <v>52</v>
      </c>
      <c r="B9" s="9">
        <v>0</v>
      </c>
      <c r="C9" s="9">
        <f>+HRM!P20</f>
        <v>1</v>
      </c>
      <c r="D9" s="9">
        <v>2</v>
      </c>
    </row>
    <row r="10" spans="1:4" ht="12.75">
      <c r="A10" s="1" t="s">
        <v>57</v>
      </c>
      <c r="B10" s="9">
        <v>0</v>
      </c>
      <c r="C10" s="9">
        <f>+HRM!P21</f>
        <v>3</v>
      </c>
      <c r="D10" s="9">
        <v>3</v>
      </c>
    </row>
    <row r="11" spans="1:4" ht="12.75">
      <c r="A11" s="1"/>
      <c r="B11" s="6"/>
      <c r="C11" s="6"/>
      <c r="D11" s="6"/>
    </row>
  </sheetData>
  <printOptions horizontalCentered="1"/>
  <pageMargins left="0.25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P25"/>
  <sheetViews>
    <sheetView workbookViewId="0" topLeftCell="A1">
      <selection activeCell="A14" sqref="A14"/>
    </sheetView>
  </sheetViews>
  <sheetFormatPr defaultColWidth="9.140625" defaultRowHeight="12.75"/>
  <cols>
    <col min="1" max="1" width="18.57421875" style="0" customWidth="1"/>
    <col min="2" max="4" width="6.7109375" style="0" customWidth="1"/>
    <col min="5" max="5" width="7.421875" style="0" customWidth="1"/>
    <col min="6" max="8" width="6.7109375" style="0" customWidth="1"/>
    <col min="9" max="9" width="8.28125" style="0" customWidth="1"/>
    <col min="10" max="10" width="6.7109375" style="0" customWidth="1"/>
    <col min="11" max="11" width="8.28125" style="0" customWidth="1"/>
    <col min="12" max="12" width="6.7109375" style="0" customWidth="1"/>
    <col min="13" max="13" width="8.28125" style="0" customWidth="1"/>
    <col min="14" max="14" width="6.00390625" style="0" customWidth="1"/>
    <col min="15" max="15" width="5.8515625" style="0" customWidth="1"/>
    <col min="16" max="16" width="6.7109375" style="0" customWidth="1"/>
  </cols>
  <sheetData>
    <row r="1" spans="1:5" ht="12.75">
      <c r="A1" s="67" t="s">
        <v>43</v>
      </c>
      <c r="B1" s="61"/>
      <c r="C1" s="61"/>
      <c r="D1" s="61"/>
      <c r="E1" s="61"/>
    </row>
    <row r="3" spans="1:16" ht="12.75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35" t="s">
        <v>7</v>
      </c>
      <c r="O3" s="36"/>
      <c r="P3" s="30" t="s">
        <v>8</v>
      </c>
    </row>
    <row r="4" spans="1:16" ht="12.75">
      <c r="A4" s="1" t="s">
        <v>59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2" t="s">
        <v>7</v>
      </c>
    </row>
    <row r="5" spans="1:16" ht="12.75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0"/>
    </row>
    <row r="6" spans="1:16" ht="12.75">
      <c r="A6" s="1" t="s">
        <v>42</v>
      </c>
      <c r="B6" s="41">
        <v>0</v>
      </c>
      <c r="C6" s="42">
        <v>0</v>
      </c>
      <c r="D6" s="41">
        <v>0</v>
      </c>
      <c r="E6" s="42">
        <v>0</v>
      </c>
      <c r="F6" s="41">
        <v>0</v>
      </c>
      <c r="G6" s="42">
        <v>0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1">
        <f aca="true" t="shared" si="0" ref="N6:O10">L6+J6+H6+F6+D6+B6</f>
        <v>0</v>
      </c>
      <c r="O6" s="42">
        <f t="shared" si="0"/>
        <v>0</v>
      </c>
      <c r="P6" s="44">
        <f>O6+N6</f>
        <v>0</v>
      </c>
    </row>
    <row r="7" spans="1:16" ht="12.75">
      <c r="A7" s="1" t="s">
        <v>49</v>
      </c>
      <c r="B7" s="41">
        <v>1</v>
      </c>
      <c r="C7" s="42">
        <v>0</v>
      </c>
      <c r="D7" s="41">
        <v>0</v>
      </c>
      <c r="E7" s="42">
        <v>0</v>
      </c>
      <c r="F7" s="41">
        <v>0</v>
      </c>
      <c r="G7" s="42">
        <v>0</v>
      </c>
      <c r="H7" s="41">
        <v>0</v>
      </c>
      <c r="I7" s="42">
        <v>0</v>
      </c>
      <c r="J7" s="41">
        <v>0</v>
      </c>
      <c r="K7" s="42">
        <v>0</v>
      </c>
      <c r="L7" s="41">
        <v>0</v>
      </c>
      <c r="M7" s="42">
        <v>0</v>
      </c>
      <c r="N7" s="41">
        <f t="shared" si="0"/>
        <v>1</v>
      </c>
      <c r="O7" s="42">
        <f t="shared" si="0"/>
        <v>0</v>
      </c>
      <c r="P7" s="44">
        <f>O7+N7</f>
        <v>1</v>
      </c>
    </row>
    <row r="8" spans="1:16" ht="12.75">
      <c r="A8" s="1" t="s">
        <v>50</v>
      </c>
      <c r="B8" s="41">
        <v>12</v>
      </c>
      <c r="C8" s="42">
        <v>0</v>
      </c>
      <c r="D8" s="41">
        <v>0</v>
      </c>
      <c r="E8" s="42">
        <v>0</v>
      </c>
      <c r="F8" s="41">
        <v>0</v>
      </c>
      <c r="G8" s="42">
        <v>0</v>
      </c>
      <c r="H8" s="41">
        <v>0</v>
      </c>
      <c r="I8" s="42">
        <v>0</v>
      </c>
      <c r="J8" s="41">
        <v>0</v>
      </c>
      <c r="K8" s="42">
        <v>0</v>
      </c>
      <c r="L8" s="41">
        <v>0</v>
      </c>
      <c r="M8" s="42">
        <v>0</v>
      </c>
      <c r="N8" s="41">
        <f t="shared" si="0"/>
        <v>12</v>
      </c>
      <c r="O8" s="42">
        <f t="shared" si="0"/>
        <v>0</v>
      </c>
      <c r="P8" s="44">
        <f>O8+N8</f>
        <v>12</v>
      </c>
    </row>
    <row r="9" spans="1:16" ht="12.75">
      <c r="A9" s="1" t="s">
        <v>52</v>
      </c>
      <c r="B9" s="41">
        <v>5</v>
      </c>
      <c r="C9" s="42">
        <v>2</v>
      </c>
      <c r="D9" s="41">
        <v>1</v>
      </c>
      <c r="E9" s="42">
        <v>1</v>
      </c>
      <c r="F9" s="41">
        <v>1</v>
      </c>
      <c r="G9" s="42">
        <v>1</v>
      </c>
      <c r="H9" s="41">
        <v>0</v>
      </c>
      <c r="I9" s="42">
        <v>0</v>
      </c>
      <c r="J9" s="41">
        <v>0</v>
      </c>
      <c r="K9" s="42">
        <v>0</v>
      </c>
      <c r="L9" s="41">
        <v>1</v>
      </c>
      <c r="M9" s="42">
        <v>0</v>
      </c>
      <c r="N9" s="41">
        <f t="shared" si="0"/>
        <v>8</v>
      </c>
      <c r="O9" s="42">
        <f t="shared" si="0"/>
        <v>4</v>
      </c>
      <c r="P9" s="44">
        <f>O9+N9</f>
        <v>12</v>
      </c>
    </row>
    <row r="10" spans="1:16" ht="12.75">
      <c r="A10" s="1" t="s">
        <v>57</v>
      </c>
      <c r="B10" s="41">
        <v>4</v>
      </c>
      <c r="C10" s="42">
        <v>1</v>
      </c>
      <c r="D10" s="41">
        <v>1</v>
      </c>
      <c r="E10" s="42">
        <v>0</v>
      </c>
      <c r="F10" s="41">
        <v>0</v>
      </c>
      <c r="G10" s="42">
        <v>0</v>
      </c>
      <c r="H10" s="41">
        <v>0</v>
      </c>
      <c r="I10" s="42">
        <v>0</v>
      </c>
      <c r="J10" s="41">
        <v>1</v>
      </c>
      <c r="K10" s="42">
        <v>0</v>
      </c>
      <c r="L10" s="41">
        <v>1</v>
      </c>
      <c r="M10" s="42">
        <v>0</v>
      </c>
      <c r="N10" s="41">
        <f t="shared" si="0"/>
        <v>7</v>
      </c>
      <c r="O10" s="42">
        <f t="shared" si="0"/>
        <v>1</v>
      </c>
      <c r="P10" s="44">
        <f>O10+N10</f>
        <v>8</v>
      </c>
    </row>
    <row r="11" spans="1:16" ht="12.75">
      <c r="A11" s="53"/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8"/>
    </row>
    <row r="13" ht="12.75">
      <c r="A13" s="88" t="s">
        <v>17</v>
      </c>
    </row>
    <row r="14" spans="1:16" ht="12.75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35" t="s">
        <v>6</v>
      </c>
      <c r="M14" s="36"/>
      <c r="N14" s="35" t="s">
        <v>7</v>
      </c>
      <c r="O14" s="36"/>
      <c r="P14" s="30" t="s">
        <v>8</v>
      </c>
    </row>
    <row r="15" spans="1:16" ht="12.75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2" t="s">
        <v>7</v>
      </c>
    </row>
    <row r="16" spans="1:16" ht="12.75">
      <c r="A16" s="1"/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10"/>
    </row>
    <row r="17" spans="1:16" ht="12.75">
      <c r="A17" s="1" t="s">
        <v>42</v>
      </c>
      <c r="B17" s="41">
        <v>1</v>
      </c>
      <c r="C17" s="42">
        <v>0</v>
      </c>
      <c r="D17" s="41">
        <v>0</v>
      </c>
      <c r="E17" s="43">
        <v>0</v>
      </c>
      <c r="F17" s="41">
        <v>0</v>
      </c>
      <c r="G17" s="43">
        <v>0</v>
      </c>
      <c r="H17" s="41">
        <v>0</v>
      </c>
      <c r="I17" s="43">
        <v>0</v>
      </c>
      <c r="J17" s="41">
        <v>0</v>
      </c>
      <c r="K17" s="43">
        <v>0</v>
      </c>
      <c r="L17" s="41">
        <v>0</v>
      </c>
      <c r="M17" s="43">
        <v>0</v>
      </c>
      <c r="N17" s="41">
        <f aca="true" t="shared" si="1" ref="N17:O21">L17+J17+H17+F17+D17+B17</f>
        <v>1</v>
      </c>
      <c r="O17" s="43">
        <f t="shared" si="1"/>
        <v>0</v>
      </c>
      <c r="P17" s="43">
        <f>SUM(O17,N17)</f>
        <v>1</v>
      </c>
    </row>
    <row r="18" spans="1:16" ht="12.75">
      <c r="A18" s="1" t="s">
        <v>49</v>
      </c>
      <c r="B18" s="41">
        <v>13</v>
      </c>
      <c r="C18" s="42">
        <v>4</v>
      </c>
      <c r="D18" s="41">
        <v>0</v>
      </c>
      <c r="E18" s="43">
        <v>0</v>
      </c>
      <c r="F18" s="41">
        <v>1</v>
      </c>
      <c r="G18" s="43">
        <v>1</v>
      </c>
      <c r="H18" s="41">
        <v>0</v>
      </c>
      <c r="I18" s="43">
        <v>0</v>
      </c>
      <c r="J18" s="41">
        <v>0</v>
      </c>
      <c r="K18" s="43">
        <v>0</v>
      </c>
      <c r="L18" s="41">
        <v>0</v>
      </c>
      <c r="M18" s="43">
        <v>0</v>
      </c>
      <c r="N18" s="41">
        <f t="shared" si="1"/>
        <v>14</v>
      </c>
      <c r="O18" s="43">
        <f t="shared" si="1"/>
        <v>5</v>
      </c>
      <c r="P18" s="43">
        <f>SUM(O18,N18)</f>
        <v>19</v>
      </c>
    </row>
    <row r="19" spans="1:16" ht="12.75">
      <c r="A19" s="1" t="s">
        <v>50</v>
      </c>
      <c r="B19" s="41">
        <v>16</v>
      </c>
      <c r="C19" s="42">
        <v>2</v>
      </c>
      <c r="D19" s="41">
        <v>1</v>
      </c>
      <c r="E19" s="43">
        <v>1</v>
      </c>
      <c r="F19" s="41">
        <v>1</v>
      </c>
      <c r="G19" s="43">
        <v>0</v>
      </c>
      <c r="H19" s="41">
        <v>0</v>
      </c>
      <c r="I19" s="43">
        <v>0</v>
      </c>
      <c r="J19" s="41">
        <v>0</v>
      </c>
      <c r="K19" s="43">
        <v>1</v>
      </c>
      <c r="L19" s="41">
        <v>1</v>
      </c>
      <c r="M19" s="43">
        <v>0</v>
      </c>
      <c r="N19" s="41">
        <f t="shared" si="1"/>
        <v>19</v>
      </c>
      <c r="O19" s="43">
        <f t="shared" si="1"/>
        <v>4</v>
      </c>
      <c r="P19" s="43">
        <f>SUM(O19,N19)</f>
        <v>23</v>
      </c>
    </row>
    <row r="20" spans="1:16" ht="12.75">
      <c r="A20" s="1" t="s">
        <v>52</v>
      </c>
      <c r="B20" s="41">
        <v>8</v>
      </c>
      <c r="C20" s="42">
        <v>2</v>
      </c>
      <c r="D20" s="41">
        <v>2</v>
      </c>
      <c r="E20" s="43">
        <v>0</v>
      </c>
      <c r="F20" s="41">
        <v>1</v>
      </c>
      <c r="G20" s="43">
        <v>0</v>
      </c>
      <c r="H20" s="41">
        <v>0</v>
      </c>
      <c r="I20" s="43">
        <v>0</v>
      </c>
      <c r="J20" s="41">
        <v>0</v>
      </c>
      <c r="K20" s="43">
        <v>1</v>
      </c>
      <c r="L20" s="41">
        <v>0</v>
      </c>
      <c r="M20" s="43">
        <v>0</v>
      </c>
      <c r="N20" s="41">
        <f t="shared" si="1"/>
        <v>11</v>
      </c>
      <c r="O20" s="43">
        <f t="shared" si="1"/>
        <v>3</v>
      </c>
      <c r="P20" s="43">
        <f>SUM(O20,N20)</f>
        <v>14</v>
      </c>
    </row>
    <row r="21" spans="1:16" ht="12.75">
      <c r="A21" s="1" t="s">
        <v>57</v>
      </c>
      <c r="B21" s="41">
        <v>9</v>
      </c>
      <c r="C21" s="42">
        <v>1</v>
      </c>
      <c r="D21" s="41">
        <v>2</v>
      </c>
      <c r="E21" s="43">
        <v>0</v>
      </c>
      <c r="F21" s="41">
        <v>0</v>
      </c>
      <c r="G21" s="43">
        <v>0</v>
      </c>
      <c r="H21" s="41">
        <v>0</v>
      </c>
      <c r="I21" s="43">
        <v>0</v>
      </c>
      <c r="J21" s="41">
        <v>1</v>
      </c>
      <c r="K21" s="43">
        <v>0</v>
      </c>
      <c r="L21" s="41">
        <v>0</v>
      </c>
      <c r="M21" s="43">
        <v>0</v>
      </c>
      <c r="N21" s="41">
        <f t="shared" si="1"/>
        <v>12</v>
      </c>
      <c r="O21" s="43">
        <f t="shared" si="1"/>
        <v>1</v>
      </c>
      <c r="P21" s="43">
        <f>SUM(O21,N21)</f>
        <v>13</v>
      </c>
    </row>
    <row r="22" spans="2:16" ht="12.75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4"/>
    </row>
    <row r="24" ht="12.75">
      <c r="A24" s="73"/>
    </row>
    <row r="25" spans="1:10" ht="12.75">
      <c r="A25" s="26"/>
      <c r="B25" s="2"/>
      <c r="C25" s="2"/>
      <c r="D25" s="2"/>
      <c r="E25" s="2"/>
      <c r="F25" s="2"/>
      <c r="G25" s="2"/>
      <c r="H25" s="2"/>
      <c r="I25" s="2"/>
      <c r="J25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4" width="12.7109375" style="0" customWidth="1"/>
  </cols>
  <sheetData>
    <row r="1" spans="1:4" ht="12.75">
      <c r="A1" s="18" t="s">
        <v>44</v>
      </c>
      <c r="B1" s="11"/>
      <c r="C1" s="11"/>
      <c r="D1" s="11"/>
    </row>
    <row r="2" spans="1:4" ht="12.75">
      <c r="A2" s="26"/>
      <c r="B2" s="2"/>
      <c r="C2" s="2"/>
      <c r="D2" s="2"/>
    </row>
    <row r="3" spans="1:4" ht="12.75">
      <c r="A3" s="1" t="s">
        <v>17</v>
      </c>
      <c r="B3" s="2"/>
      <c r="C3" s="2"/>
      <c r="D3" s="2"/>
    </row>
    <row r="4" spans="1:4" ht="12.75">
      <c r="A4" s="1" t="s">
        <v>11</v>
      </c>
      <c r="B4" s="33" t="s">
        <v>16</v>
      </c>
      <c r="C4" s="33" t="s">
        <v>14</v>
      </c>
      <c r="D4" s="33" t="s">
        <v>15</v>
      </c>
    </row>
    <row r="5" spans="1:4" ht="12.75">
      <c r="A5" s="26"/>
      <c r="B5" s="10"/>
      <c r="C5" s="10"/>
      <c r="D5" s="10"/>
    </row>
    <row r="6" spans="1:4" ht="12.75">
      <c r="A6" s="1" t="s">
        <v>42</v>
      </c>
      <c r="B6" s="9">
        <v>0</v>
      </c>
      <c r="C6" s="9">
        <f>IAMI!P17</f>
        <v>1</v>
      </c>
      <c r="D6" s="9">
        <v>11</v>
      </c>
    </row>
    <row r="7" spans="1:4" ht="12.75">
      <c r="A7" s="1" t="s">
        <v>49</v>
      </c>
      <c r="B7" s="9">
        <v>3</v>
      </c>
      <c r="C7" s="9">
        <f>IAMI!P18</f>
        <v>19</v>
      </c>
      <c r="D7" s="9">
        <v>21</v>
      </c>
    </row>
    <row r="8" spans="1:4" ht="12.75">
      <c r="A8" s="1" t="s">
        <v>50</v>
      </c>
      <c r="B8" s="9">
        <v>9</v>
      </c>
      <c r="C8" s="9">
        <f>IAMI!P19</f>
        <v>23</v>
      </c>
      <c r="D8" s="9">
        <v>17</v>
      </c>
    </row>
    <row r="9" spans="1:4" ht="12.75">
      <c r="A9" s="1" t="s">
        <v>52</v>
      </c>
      <c r="B9" s="9">
        <v>6</v>
      </c>
      <c r="C9" s="9">
        <f>IAMI!P20</f>
        <v>14</v>
      </c>
      <c r="D9" s="9">
        <v>15</v>
      </c>
    </row>
    <row r="10" spans="1:4" ht="12.75">
      <c r="A10" s="1" t="s">
        <v>57</v>
      </c>
      <c r="B10" s="9">
        <v>9</v>
      </c>
      <c r="C10" s="9">
        <f>IAMI!P21</f>
        <v>13</v>
      </c>
      <c r="D10" s="9">
        <v>9</v>
      </c>
    </row>
    <row r="11" spans="1:4" ht="12.75">
      <c r="A11" s="1"/>
      <c r="B11" s="6"/>
      <c r="C11" s="6"/>
      <c r="D11" s="6"/>
    </row>
  </sheetData>
  <printOptions horizontalCentered="1"/>
  <pageMargins left="0.25" right="0.25" top="1" bottom="0.75" header="0.5" footer="0.25"/>
  <pageSetup fitToHeight="1" fitToWidth="1" horizontalDpi="600" verticalDpi="6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8"/>
  <sheetViews>
    <sheetView workbookViewId="0" topLeftCell="A1">
      <selection activeCell="A14" sqref="A14"/>
    </sheetView>
  </sheetViews>
  <sheetFormatPr defaultColWidth="9.140625" defaultRowHeight="11.25" customHeight="1"/>
  <cols>
    <col min="1" max="1" width="18.7109375" style="26" customWidth="1"/>
    <col min="2" max="2" width="7.28125" style="2" customWidth="1"/>
    <col min="3" max="3" width="7.00390625" style="2" bestFit="1" customWidth="1"/>
    <col min="4" max="4" width="7.28125" style="2" customWidth="1"/>
    <col min="5" max="5" width="7.00390625" style="2" bestFit="1" customWidth="1"/>
    <col min="6" max="6" width="7.28125" style="2" customWidth="1"/>
    <col min="7" max="7" width="7.00390625" style="2" bestFit="1" customWidth="1"/>
    <col min="8" max="14" width="7.28125" style="2" customWidth="1"/>
    <col min="15" max="15" width="7.00390625" style="2" bestFit="1" customWidth="1"/>
    <col min="16" max="16" width="7.28125" style="2" customWidth="1"/>
    <col min="17" max="17" width="7.00390625" style="2" bestFit="1" customWidth="1"/>
    <col min="18" max="18" width="6.140625" style="2" bestFit="1" customWidth="1"/>
    <col min="19" max="16384" width="9.140625" style="2" customWidth="1"/>
  </cols>
  <sheetData>
    <row r="1" ht="11.25" customHeight="1">
      <c r="A1" s="17" t="s">
        <v>27</v>
      </c>
    </row>
    <row r="2" ht="11.25" customHeight="1">
      <c r="A2" s="17"/>
    </row>
    <row r="3" spans="1:18" s="26" customFormat="1" ht="11.2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93" t="s">
        <v>6</v>
      </c>
      <c r="M3" s="94"/>
      <c r="N3" s="93" t="s">
        <v>38</v>
      </c>
      <c r="O3" s="94"/>
      <c r="P3" s="35" t="s">
        <v>7</v>
      </c>
      <c r="Q3" s="36"/>
      <c r="R3" s="30" t="s">
        <v>8</v>
      </c>
    </row>
    <row r="4" spans="1:18" s="26" customFormat="1" ht="11.25" customHeight="1">
      <c r="A4" s="1" t="s">
        <v>53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1.2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7"/>
      <c r="O5" s="77"/>
      <c r="P5" s="3"/>
      <c r="Q5" s="4"/>
      <c r="R5" s="10"/>
    </row>
    <row r="6" spans="1:18" ht="11.25" customHeight="1">
      <c r="A6" s="1" t="s">
        <v>42</v>
      </c>
      <c r="B6" s="41">
        <v>17</v>
      </c>
      <c r="C6" s="43">
        <v>18</v>
      </c>
      <c r="D6" s="41">
        <v>3</v>
      </c>
      <c r="E6" s="43">
        <v>4</v>
      </c>
      <c r="F6" s="41">
        <v>0</v>
      </c>
      <c r="G6" s="43">
        <v>1</v>
      </c>
      <c r="H6" s="41">
        <v>0</v>
      </c>
      <c r="I6" s="43">
        <v>0</v>
      </c>
      <c r="J6" s="41">
        <v>0</v>
      </c>
      <c r="K6" s="43">
        <v>1</v>
      </c>
      <c r="L6" s="41">
        <v>2</v>
      </c>
      <c r="M6" s="43">
        <v>0</v>
      </c>
      <c r="N6" s="42">
        <v>1</v>
      </c>
      <c r="O6" s="42">
        <v>0</v>
      </c>
      <c r="P6" s="41">
        <f aca="true" t="shared" si="0" ref="P6:Q10">N6+L6+J6+H6+F6+D6+B6</f>
        <v>23</v>
      </c>
      <c r="Q6" s="43">
        <f t="shared" si="0"/>
        <v>24</v>
      </c>
      <c r="R6" s="44">
        <f>Q6+P6</f>
        <v>47</v>
      </c>
    </row>
    <row r="7" spans="1:18" ht="11.25" customHeight="1">
      <c r="A7" s="1" t="s">
        <v>49</v>
      </c>
      <c r="B7" s="41">
        <v>20</v>
      </c>
      <c r="C7" s="43">
        <v>23</v>
      </c>
      <c r="D7" s="41">
        <v>3</v>
      </c>
      <c r="E7" s="43">
        <v>3</v>
      </c>
      <c r="F7" s="41">
        <v>3</v>
      </c>
      <c r="G7" s="43">
        <v>1</v>
      </c>
      <c r="H7" s="41">
        <v>0</v>
      </c>
      <c r="I7" s="43">
        <v>3</v>
      </c>
      <c r="J7" s="41">
        <v>0</v>
      </c>
      <c r="K7" s="43">
        <v>2</v>
      </c>
      <c r="L7" s="41">
        <v>2</v>
      </c>
      <c r="M7" s="43">
        <v>0</v>
      </c>
      <c r="N7" s="42">
        <v>1</v>
      </c>
      <c r="O7" s="42">
        <v>0</v>
      </c>
      <c r="P7" s="41">
        <f t="shared" si="0"/>
        <v>29</v>
      </c>
      <c r="Q7" s="43">
        <f t="shared" si="0"/>
        <v>32</v>
      </c>
      <c r="R7" s="44">
        <f>Q7+P7</f>
        <v>61</v>
      </c>
    </row>
    <row r="8" spans="1:18" ht="11.25" customHeight="1">
      <c r="A8" s="1" t="s">
        <v>50</v>
      </c>
      <c r="B8" s="41">
        <v>26</v>
      </c>
      <c r="C8" s="43">
        <v>20</v>
      </c>
      <c r="D8" s="41">
        <v>4</v>
      </c>
      <c r="E8" s="43">
        <v>5</v>
      </c>
      <c r="F8" s="41">
        <v>0</v>
      </c>
      <c r="G8" s="43">
        <v>0</v>
      </c>
      <c r="H8" s="41">
        <v>0</v>
      </c>
      <c r="I8" s="43">
        <v>1</v>
      </c>
      <c r="J8" s="41">
        <v>0</v>
      </c>
      <c r="K8" s="43">
        <v>0</v>
      </c>
      <c r="L8" s="41">
        <v>1</v>
      </c>
      <c r="M8" s="43">
        <v>0</v>
      </c>
      <c r="N8" s="42">
        <v>0</v>
      </c>
      <c r="O8" s="42">
        <v>0</v>
      </c>
      <c r="P8" s="41">
        <f t="shared" si="0"/>
        <v>31</v>
      </c>
      <c r="Q8" s="43">
        <f t="shared" si="0"/>
        <v>26</v>
      </c>
      <c r="R8" s="44">
        <f>Q8+P8</f>
        <v>57</v>
      </c>
    </row>
    <row r="9" spans="1:18" ht="11.25" customHeight="1">
      <c r="A9" s="1" t="s">
        <v>52</v>
      </c>
      <c r="B9" s="41">
        <v>15</v>
      </c>
      <c r="C9" s="43">
        <v>11</v>
      </c>
      <c r="D9" s="41">
        <v>3</v>
      </c>
      <c r="E9" s="43">
        <v>7</v>
      </c>
      <c r="F9" s="41">
        <v>0</v>
      </c>
      <c r="G9" s="43">
        <v>0</v>
      </c>
      <c r="H9" s="41">
        <v>1</v>
      </c>
      <c r="I9" s="43">
        <v>0</v>
      </c>
      <c r="J9" s="41">
        <v>1</v>
      </c>
      <c r="K9" s="43">
        <v>1</v>
      </c>
      <c r="L9" s="41">
        <v>2</v>
      </c>
      <c r="M9" s="43">
        <v>0</v>
      </c>
      <c r="N9" s="42">
        <v>0</v>
      </c>
      <c r="O9" s="42">
        <v>0</v>
      </c>
      <c r="P9" s="41">
        <f t="shared" si="0"/>
        <v>22</v>
      </c>
      <c r="Q9" s="43">
        <f t="shared" si="0"/>
        <v>19</v>
      </c>
      <c r="R9" s="44">
        <f>Q9+P9</f>
        <v>41</v>
      </c>
    </row>
    <row r="10" spans="1:18" ht="11.25" customHeight="1">
      <c r="A10" s="1" t="s">
        <v>57</v>
      </c>
      <c r="B10" s="41">
        <v>17</v>
      </c>
      <c r="C10" s="43">
        <v>31</v>
      </c>
      <c r="D10" s="41">
        <v>5</v>
      </c>
      <c r="E10" s="43">
        <v>5</v>
      </c>
      <c r="F10" s="41">
        <v>0</v>
      </c>
      <c r="G10" s="43">
        <v>0</v>
      </c>
      <c r="H10" s="41">
        <v>0</v>
      </c>
      <c r="I10" s="43">
        <v>1</v>
      </c>
      <c r="J10" s="41">
        <v>0</v>
      </c>
      <c r="K10" s="43">
        <v>1</v>
      </c>
      <c r="L10" s="41">
        <v>3</v>
      </c>
      <c r="M10" s="43">
        <v>0</v>
      </c>
      <c r="N10" s="42">
        <v>0</v>
      </c>
      <c r="O10" s="42">
        <v>1</v>
      </c>
      <c r="P10" s="41">
        <f t="shared" si="0"/>
        <v>25</v>
      </c>
      <c r="Q10" s="43">
        <f t="shared" si="0"/>
        <v>39</v>
      </c>
      <c r="R10" s="44">
        <f>Q10+P10</f>
        <v>64</v>
      </c>
    </row>
    <row r="11" spans="2:18" ht="11.2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spans="2:18" ht="11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26" customFormat="1" ht="11.25" customHeight="1">
      <c r="A13" s="16"/>
      <c r="B13" s="35" t="s">
        <v>1</v>
      </c>
      <c r="C13" s="36"/>
      <c r="D13" s="35" t="s">
        <v>2</v>
      </c>
      <c r="E13" s="36"/>
      <c r="F13" s="35" t="s">
        <v>3</v>
      </c>
      <c r="G13" s="36"/>
      <c r="H13" s="35" t="s">
        <v>4</v>
      </c>
      <c r="I13" s="36"/>
      <c r="J13" s="35" t="s">
        <v>5</v>
      </c>
      <c r="K13" s="36"/>
      <c r="L13" s="93" t="s">
        <v>6</v>
      </c>
      <c r="M13" s="94"/>
      <c r="N13" s="93" t="s">
        <v>38</v>
      </c>
      <c r="O13" s="94"/>
      <c r="P13" s="35" t="s">
        <v>7</v>
      </c>
      <c r="Q13" s="36"/>
      <c r="R13" s="30" t="s">
        <v>8</v>
      </c>
    </row>
    <row r="14" spans="1:18" s="26" customFormat="1" ht="11.25" customHeight="1">
      <c r="A14" s="53" t="s">
        <v>54</v>
      </c>
      <c r="B14" s="31" t="s">
        <v>9</v>
      </c>
      <c r="C14" s="34" t="s">
        <v>10</v>
      </c>
      <c r="D14" s="31" t="s">
        <v>9</v>
      </c>
      <c r="E14" s="34" t="s">
        <v>10</v>
      </c>
      <c r="F14" s="31" t="s">
        <v>9</v>
      </c>
      <c r="G14" s="34" t="s">
        <v>10</v>
      </c>
      <c r="H14" s="31" t="s">
        <v>9</v>
      </c>
      <c r="I14" s="34" t="s">
        <v>10</v>
      </c>
      <c r="J14" s="31" t="s">
        <v>9</v>
      </c>
      <c r="K14" s="34" t="s">
        <v>10</v>
      </c>
      <c r="L14" s="31" t="s">
        <v>9</v>
      </c>
      <c r="M14" s="34" t="s">
        <v>10</v>
      </c>
      <c r="N14" s="31" t="s">
        <v>9</v>
      </c>
      <c r="O14" s="34" t="s">
        <v>10</v>
      </c>
      <c r="P14" s="31" t="s">
        <v>9</v>
      </c>
      <c r="Q14" s="34" t="s">
        <v>10</v>
      </c>
      <c r="R14" s="32" t="s">
        <v>7</v>
      </c>
    </row>
    <row r="15" spans="1:18" ht="11.25" customHeight="1">
      <c r="A15" s="16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77"/>
      <c r="O15" s="77"/>
      <c r="P15" s="3"/>
      <c r="Q15" s="4"/>
      <c r="R15" s="10"/>
    </row>
    <row r="16" spans="1:18" ht="11.25" customHeight="1">
      <c r="A16" s="1" t="s">
        <v>42</v>
      </c>
      <c r="B16" s="41">
        <v>16</v>
      </c>
      <c r="C16" s="43">
        <v>9</v>
      </c>
      <c r="D16" s="41">
        <v>0</v>
      </c>
      <c r="E16" s="43">
        <v>2</v>
      </c>
      <c r="F16" s="41">
        <v>1</v>
      </c>
      <c r="G16" s="43">
        <v>0</v>
      </c>
      <c r="H16" s="41">
        <v>1</v>
      </c>
      <c r="I16" s="43">
        <v>0</v>
      </c>
      <c r="J16" s="41">
        <v>0</v>
      </c>
      <c r="K16" s="43">
        <v>0</v>
      </c>
      <c r="L16" s="41">
        <v>2</v>
      </c>
      <c r="M16" s="43">
        <v>3</v>
      </c>
      <c r="N16" s="42">
        <v>2</v>
      </c>
      <c r="O16" s="42">
        <v>0</v>
      </c>
      <c r="P16" s="41">
        <f aca="true" t="shared" si="1" ref="P16:Q20">N16+L16+J16+H16+F16+D16+B16</f>
        <v>22</v>
      </c>
      <c r="Q16" s="43">
        <f t="shared" si="1"/>
        <v>14</v>
      </c>
      <c r="R16" s="44">
        <f>Q16+P16</f>
        <v>36</v>
      </c>
    </row>
    <row r="17" spans="1:18" ht="11.25" customHeight="1">
      <c r="A17" s="1" t="s">
        <v>49</v>
      </c>
      <c r="B17" s="41">
        <v>9</v>
      </c>
      <c r="C17" s="43">
        <v>4</v>
      </c>
      <c r="D17" s="41">
        <v>0</v>
      </c>
      <c r="E17" s="43">
        <v>2</v>
      </c>
      <c r="F17" s="41">
        <v>1</v>
      </c>
      <c r="G17" s="43">
        <v>0</v>
      </c>
      <c r="H17" s="41">
        <v>1</v>
      </c>
      <c r="I17" s="43">
        <v>0</v>
      </c>
      <c r="J17" s="41">
        <v>0</v>
      </c>
      <c r="K17" s="43">
        <v>0</v>
      </c>
      <c r="L17" s="41">
        <v>1</v>
      </c>
      <c r="M17" s="43">
        <v>1</v>
      </c>
      <c r="N17" s="42">
        <v>1</v>
      </c>
      <c r="O17" s="42">
        <v>0</v>
      </c>
      <c r="P17" s="41">
        <f t="shared" si="1"/>
        <v>13</v>
      </c>
      <c r="Q17" s="43">
        <f t="shared" si="1"/>
        <v>7</v>
      </c>
      <c r="R17" s="44">
        <f>Q17+P17</f>
        <v>20</v>
      </c>
    </row>
    <row r="18" spans="1:18" ht="11.25" customHeight="1">
      <c r="A18" s="1" t="s">
        <v>50</v>
      </c>
      <c r="B18" s="41">
        <v>12</v>
      </c>
      <c r="C18" s="43">
        <v>8</v>
      </c>
      <c r="D18" s="41">
        <v>0</v>
      </c>
      <c r="E18" s="43">
        <v>2</v>
      </c>
      <c r="F18" s="41">
        <v>0</v>
      </c>
      <c r="G18" s="43">
        <v>0</v>
      </c>
      <c r="H18" s="41">
        <v>1</v>
      </c>
      <c r="I18" s="43">
        <v>0</v>
      </c>
      <c r="J18" s="41">
        <v>1</v>
      </c>
      <c r="K18" s="43">
        <v>1</v>
      </c>
      <c r="L18" s="41">
        <v>1</v>
      </c>
      <c r="M18" s="43">
        <v>1</v>
      </c>
      <c r="N18" s="42">
        <v>0</v>
      </c>
      <c r="O18" s="42">
        <v>0</v>
      </c>
      <c r="P18" s="41">
        <f t="shared" si="1"/>
        <v>15</v>
      </c>
      <c r="Q18" s="43">
        <f t="shared" si="1"/>
        <v>12</v>
      </c>
      <c r="R18" s="44">
        <f>Q18+P18</f>
        <v>27</v>
      </c>
    </row>
    <row r="19" spans="1:18" ht="11.25" customHeight="1">
      <c r="A19" s="1" t="s">
        <v>52</v>
      </c>
      <c r="B19" s="41">
        <v>21</v>
      </c>
      <c r="C19" s="43">
        <v>10</v>
      </c>
      <c r="D19" s="41">
        <v>1</v>
      </c>
      <c r="E19" s="43">
        <v>0</v>
      </c>
      <c r="F19" s="41">
        <v>0</v>
      </c>
      <c r="G19" s="43">
        <v>2</v>
      </c>
      <c r="H19" s="41">
        <v>1</v>
      </c>
      <c r="I19" s="43">
        <v>2</v>
      </c>
      <c r="J19" s="41">
        <v>0</v>
      </c>
      <c r="K19" s="43">
        <v>0</v>
      </c>
      <c r="L19" s="41">
        <v>0</v>
      </c>
      <c r="M19" s="43">
        <v>1</v>
      </c>
      <c r="N19" s="42">
        <v>0</v>
      </c>
      <c r="O19" s="42">
        <v>0</v>
      </c>
      <c r="P19" s="41">
        <f t="shared" si="1"/>
        <v>23</v>
      </c>
      <c r="Q19" s="43">
        <f t="shared" si="1"/>
        <v>15</v>
      </c>
      <c r="R19" s="44">
        <f>Q19+P19</f>
        <v>38</v>
      </c>
    </row>
    <row r="20" spans="1:18" ht="11.25" customHeight="1">
      <c r="A20" s="1" t="s">
        <v>57</v>
      </c>
      <c r="B20" s="41">
        <v>35</v>
      </c>
      <c r="C20" s="43">
        <v>16</v>
      </c>
      <c r="D20" s="41">
        <v>6</v>
      </c>
      <c r="E20" s="43">
        <v>0</v>
      </c>
      <c r="F20" s="41">
        <v>0</v>
      </c>
      <c r="G20" s="43">
        <v>1</v>
      </c>
      <c r="H20" s="41">
        <v>2</v>
      </c>
      <c r="I20" s="43">
        <v>0</v>
      </c>
      <c r="J20" s="41">
        <v>0</v>
      </c>
      <c r="K20" s="43">
        <v>0</v>
      </c>
      <c r="L20" s="41">
        <v>2</v>
      </c>
      <c r="M20" s="43">
        <v>2</v>
      </c>
      <c r="N20" s="42">
        <v>1</v>
      </c>
      <c r="O20" s="42">
        <v>1</v>
      </c>
      <c r="P20" s="41">
        <f t="shared" si="1"/>
        <v>46</v>
      </c>
      <c r="Q20" s="43">
        <f t="shared" si="1"/>
        <v>20</v>
      </c>
      <c r="R20" s="44">
        <f>Q20+P20</f>
        <v>66</v>
      </c>
    </row>
    <row r="21" spans="2:18" ht="11.25" customHeight="1"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21"/>
      <c r="O21" s="21"/>
      <c r="P21" s="12"/>
      <c r="Q21" s="13"/>
      <c r="R21" s="14"/>
    </row>
    <row r="22" ht="11.25" customHeight="1">
      <c r="A22" s="16"/>
    </row>
    <row r="23" ht="11.25" customHeight="1">
      <c r="A23" s="1" t="s">
        <v>13</v>
      </c>
    </row>
    <row r="24" spans="1:18" s="26" customFormat="1" ht="11.25" customHeight="1">
      <c r="A24" s="1" t="s">
        <v>11</v>
      </c>
      <c r="B24" s="35" t="s">
        <v>1</v>
      </c>
      <c r="C24" s="36"/>
      <c r="D24" s="35" t="s">
        <v>2</v>
      </c>
      <c r="E24" s="36"/>
      <c r="F24" s="35" t="s">
        <v>3</v>
      </c>
      <c r="G24" s="36"/>
      <c r="H24" s="35" t="s">
        <v>4</v>
      </c>
      <c r="I24" s="36"/>
      <c r="J24" s="35" t="s">
        <v>5</v>
      </c>
      <c r="K24" s="36"/>
      <c r="L24" s="93" t="s">
        <v>6</v>
      </c>
      <c r="M24" s="94"/>
      <c r="N24" s="93" t="s">
        <v>38</v>
      </c>
      <c r="O24" s="94"/>
      <c r="P24" s="35" t="s">
        <v>7</v>
      </c>
      <c r="Q24" s="36"/>
      <c r="R24" s="30" t="s">
        <v>8</v>
      </c>
    </row>
    <row r="25" spans="1:18" s="26" customFormat="1" ht="11.25" customHeight="1">
      <c r="A25" s="1" t="s">
        <v>12</v>
      </c>
      <c r="B25" s="31" t="s">
        <v>9</v>
      </c>
      <c r="C25" s="34" t="s">
        <v>10</v>
      </c>
      <c r="D25" s="31" t="s">
        <v>9</v>
      </c>
      <c r="E25" s="34" t="s">
        <v>10</v>
      </c>
      <c r="F25" s="31" t="s">
        <v>9</v>
      </c>
      <c r="G25" s="34" t="s">
        <v>10</v>
      </c>
      <c r="H25" s="31" t="s">
        <v>9</v>
      </c>
      <c r="I25" s="34" t="s">
        <v>10</v>
      </c>
      <c r="J25" s="31" t="s">
        <v>9</v>
      </c>
      <c r="K25" s="34" t="s">
        <v>10</v>
      </c>
      <c r="L25" s="31" t="s">
        <v>9</v>
      </c>
      <c r="M25" s="34" t="s">
        <v>10</v>
      </c>
      <c r="N25" s="31" t="s">
        <v>9</v>
      </c>
      <c r="O25" s="34" t="s">
        <v>10</v>
      </c>
      <c r="P25" s="31" t="s">
        <v>9</v>
      </c>
      <c r="Q25" s="34" t="s">
        <v>10</v>
      </c>
      <c r="R25" s="32" t="s">
        <v>7</v>
      </c>
    </row>
    <row r="26" spans="1:18" ht="11.25" customHeight="1">
      <c r="A26" s="1"/>
      <c r="B26" s="7"/>
      <c r="C26" s="8"/>
      <c r="D26" s="7"/>
      <c r="E26" s="8"/>
      <c r="F26" s="7"/>
      <c r="G26" s="8"/>
      <c r="H26" s="7"/>
      <c r="I26" s="8"/>
      <c r="J26" s="7"/>
      <c r="K26" s="8"/>
      <c r="L26" s="7"/>
      <c r="M26" s="45"/>
      <c r="N26" s="19"/>
      <c r="O26" s="79"/>
      <c r="P26" s="7"/>
      <c r="Q26" s="8"/>
      <c r="R26" s="9"/>
    </row>
    <row r="27" spans="1:18" s="11" customFormat="1" ht="11.25" customHeight="1">
      <c r="A27" s="1" t="s">
        <v>42</v>
      </c>
      <c r="B27" s="41">
        <v>90</v>
      </c>
      <c r="C27" s="42">
        <v>95</v>
      </c>
      <c r="D27" s="41">
        <v>16</v>
      </c>
      <c r="E27" s="42">
        <v>38</v>
      </c>
      <c r="F27" s="41">
        <v>8</v>
      </c>
      <c r="G27" s="42">
        <v>2</v>
      </c>
      <c r="H27" s="41">
        <v>5</v>
      </c>
      <c r="I27" s="42">
        <v>3</v>
      </c>
      <c r="J27" s="41">
        <v>0</v>
      </c>
      <c r="K27" s="42">
        <v>3</v>
      </c>
      <c r="L27" s="41">
        <v>11</v>
      </c>
      <c r="M27" s="42">
        <v>2</v>
      </c>
      <c r="N27" s="41">
        <v>2</v>
      </c>
      <c r="O27" s="42">
        <v>1</v>
      </c>
      <c r="P27" s="41">
        <f aca="true" t="shared" si="2" ref="P27:Q31">N27+L27+J27+H27+F27+D27+B27</f>
        <v>132</v>
      </c>
      <c r="Q27" s="43">
        <f t="shared" si="2"/>
        <v>144</v>
      </c>
      <c r="R27" s="44">
        <f>Q27+P27</f>
        <v>276</v>
      </c>
    </row>
    <row r="28" spans="1:18" s="11" customFormat="1" ht="11.25" customHeight="1">
      <c r="A28" s="1" t="s">
        <v>49</v>
      </c>
      <c r="B28" s="41">
        <v>97</v>
      </c>
      <c r="C28" s="42">
        <v>90</v>
      </c>
      <c r="D28" s="41">
        <v>17</v>
      </c>
      <c r="E28" s="42">
        <v>33</v>
      </c>
      <c r="F28" s="41">
        <v>4</v>
      </c>
      <c r="G28" s="42">
        <v>2</v>
      </c>
      <c r="H28" s="41">
        <v>3</v>
      </c>
      <c r="I28" s="42">
        <v>5</v>
      </c>
      <c r="J28" s="41">
        <v>2</v>
      </c>
      <c r="K28" s="42">
        <v>1</v>
      </c>
      <c r="L28" s="41">
        <v>11</v>
      </c>
      <c r="M28" s="42">
        <v>1</v>
      </c>
      <c r="N28" s="41">
        <v>0</v>
      </c>
      <c r="O28" s="42">
        <v>3</v>
      </c>
      <c r="P28" s="41">
        <f t="shared" si="2"/>
        <v>134</v>
      </c>
      <c r="Q28" s="43">
        <f t="shared" si="2"/>
        <v>135</v>
      </c>
      <c r="R28" s="44">
        <f>Q28+P28</f>
        <v>269</v>
      </c>
    </row>
    <row r="29" spans="1:18" s="11" customFormat="1" ht="11.25" customHeight="1">
      <c r="A29" s="1" t="s">
        <v>50</v>
      </c>
      <c r="B29" s="41">
        <v>119</v>
      </c>
      <c r="C29" s="42">
        <v>94</v>
      </c>
      <c r="D29" s="41">
        <v>22</v>
      </c>
      <c r="E29" s="42">
        <v>32</v>
      </c>
      <c r="F29" s="41">
        <v>1</v>
      </c>
      <c r="G29" s="42">
        <v>1</v>
      </c>
      <c r="H29" s="41">
        <v>6</v>
      </c>
      <c r="I29" s="42">
        <v>4</v>
      </c>
      <c r="J29" s="41">
        <v>1</v>
      </c>
      <c r="K29" s="42">
        <v>2</v>
      </c>
      <c r="L29" s="41">
        <v>19</v>
      </c>
      <c r="M29" s="42">
        <v>1</v>
      </c>
      <c r="N29" s="41">
        <v>2</v>
      </c>
      <c r="O29" s="42">
        <v>2</v>
      </c>
      <c r="P29" s="41">
        <f t="shared" si="2"/>
        <v>170</v>
      </c>
      <c r="Q29" s="43">
        <f t="shared" si="2"/>
        <v>136</v>
      </c>
      <c r="R29" s="44">
        <f>Q29+P29</f>
        <v>306</v>
      </c>
    </row>
    <row r="30" spans="1:18" s="11" customFormat="1" ht="11.25" customHeight="1">
      <c r="A30" s="1" t="s">
        <v>52</v>
      </c>
      <c r="B30" s="41">
        <v>118</v>
      </c>
      <c r="C30" s="42">
        <v>119</v>
      </c>
      <c r="D30" s="41">
        <v>20</v>
      </c>
      <c r="E30" s="42">
        <v>40</v>
      </c>
      <c r="F30" s="41">
        <v>2</v>
      </c>
      <c r="G30" s="42">
        <v>4</v>
      </c>
      <c r="H30" s="41">
        <v>5</v>
      </c>
      <c r="I30" s="42">
        <v>1</v>
      </c>
      <c r="J30" s="41">
        <v>1</v>
      </c>
      <c r="K30" s="42">
        <v>2</v>
      </c>
      <c r="L30" s="41">
        <v>15</v>
      </c>
      <c r="M30" s="42">
        <v>3</v>
      </c>
      <c r="N30" s="41">
        <v>2</v>
      </c>
      <c r="O30" s="42">
        <v>6</v>
      </c>
      <c r="P30" s="41">
        <f t="shared" si="2"/>
        <v>163</v>
      </c>
      <c r="Q30" s="43">
        <f t="shared" si="2"/>
        <v>175</v>
      </c>
      <c r="R30" s="44">
        <f>Q30+P30</f>
        <v>338</v>
      </c>
    </row>
    <row r="31" spans="1:18" s="11" customFormat="1" ht="11.25" customHeight="1">
      <c r="A31" s="1" t="s">
        <v>57</v>
      </c>
      <c r="B31" s="41">
        <v>125</v>
      </c>
      <c r="C31" s="42">
        <v>129</v>
      </c>
      <c r="D31" s="41">
        <v>32</v>
      </c>
      <c r="E31" s="42">
        <v>37</v>
      </c>
      <c r="F31" s="41">
        <v>3</v>
      </c>
      <c r="G31" s="42">
        <v>2</v>
      </c>
      <c r="H31" s="41">
        <v>4</v>
      </c>
      <c r="I31" s="42">
        <v>3</v>
      </c>
      <c r="J31" s="41">
        <v>0</v>
      </c>
      <c r="K31" s="42">
        <v>4</v>
      </c>
      <c r="L31" s="41">
        <v>11</v>
      </c>
      <c r="M31" s="42">
        <v>5</v>
      </c>
      <c r="N31" s="41">
        <v>6</v>
      </c>
      <c r="O31" s="42">
        <v>7</v>
      </c>
      <c r="P31" s="41">
        <f t="shared" si="2"/>
        <v>181</v>
      </c>
      <c r="Q31" s="43">
        <f t="shared" si="2"/>
        <v>187</v>
      </c>
      <c r="R31" s="44">
        <f>Q31+P31</f>
        <v>368</v>
      </c>
    </row>
    <row r="32" spans="1:18" s="11" customFormat="1" ht="11.25" customHeight="1">
      <c r="A32" s="15"/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21"/>
      <c r="N32" s="12"/>
      <c r="O32" s="21"/>
      <c r="P32" s="12"/>
      <c r="Q32" s="21"/>
      <c r="R32" s="14"/>
    </row>
    <row r="34" ht="11.25" customHeight="1">
      <c r="A34" s="1" t="s">
        <v>17</v>
      </c>
    </row>
    <row r="35" spans="1:18" s="26" customFormat="1" ht="11.25" customHeight="1">
      <c r="A35" s="1" t="s">
        <v>11</v>
      </c>
      <c r="B35" s="35" t="s">
        <v>1</v>
      </c>
      <c r="C35" s="36"/>
      <c r="D35" s="35" t="s">
        <v>2</v>
      </c>
      <c r="E35" s="36"/>
      <c r="F35" s="35" t="s">
        <v>3</v>
      </c>
      <c r="G35" s="36"/>
      <c r="H35" s="35" t="s">
        <v>4</v>
      </c>
      <c r="I35" s="36"/>
      <c r="J35" s="35" t="s">
        <v>5</v>
      </c>
      <c r="K35" s="36"/>
      <c r="L35" s="93" t="s">
        <v>6</v>
      </c>
      <c r="M35" s="94"/>
      <c r="N35" s="93" t="s">
        <v>38</v>
      </c>
      <c r="O35" s="94"/>
      <c r="P35" s="35" t="s">
        <v>7</v>
      </c>
      <c r="Q35" s="36"/>
      <c r="R35" s="30" t="s">
        <v>8</v>
      </c>
    </row>
    <row r="36" spans="1:18" ht="11.25" customHeight="1">
      <c r="A36" s="1" t="s">
        <v>12</v>
      </c>
      <c r="B36" s="70" t="s">
        <v>9</v>
      </c>
      <c r="C36" s="80" t="s">
        <v>10</v>
      </c>
      <c r="D36" s="70" t="s">
        <v>9</v>
      </c>
      <c r="E36" s="80" t="s">
        <v>10</v>
      </c>
      <c r="F36" s="70" t="s">
        <v>9</v>
      </c>
      <c r="G36" s="80" t="s">
        <v>10</v>
      </c>
      <c r="H36" s="70" t="s">
        <v>9</v>
      </c>
      <c r="I36" s="80" t="s">
        <v>10</v>
      </c>
      <c r="J36" s="70" t="s">
        <v>9</v>
      </c>
      <c r="K36" s="80" t="s">
        <v>10</v>
      </c>
      <c r="L36" s="70" t="s">
        <v>9</v>
      </c>
      <c r="M36" s="80" t="s">
        <v>10</v>
      </c>
      <c r="N36" s="70" t="s">
        <v>9</v>
      </c>
      <c r="O36" s="80" t="s">
        <v>10</v>
      </c>
      <c r="P36" s="70" t="s">
        <v>9</v>
      </c>
      <c r="Q36" s="80" t="s">
        <v>10</v>
      </c>
      <c r="R36" s="71" t="s">
        <v>7</v>
      </c>
    </row>
    <row r="37" spans="1:18" ht="11.25" customHeight="1">
      <c r="A37" s="1"/>
      <c r="B37" s="7"/>
      <c r="C37" s="8"/>
      <c r="D37" s="7"/>
      <c r="E37" s="8"/>
      <c r="F37" s="7"/>
      <c r="G37" s="8"/>
      <c r="H37" s="7"/>
      <c r="I37" s="8"/>
      <c r="J37" s="7"/>
      <c r="K37" s="8"/>
      <c r="L37" s="7"/>
      <c r="M37" s="45"/>
      <c r="N37" s="19"/>
      <c r="O37" s="45"/>
      <c r="P37" s="7"/>
      <c r="Q37" s="8"/>
      <c r="R37" s="9"/>
    </row>
    <row r="38" spans="1:18" s="11" customFormat="1" ht="11.25" customHeight="1">
      <c r="A38" s="1" t="s">
        <v>42</v>
      </c>
      <c r="B38" s="41">
        <v>44</v>
      </c>
      <c r="C38" s="42">
        <v>31</v>
      </c>
      <c r="D38" s="41">
        <v>0</v>
      </c>
      <c r="E38" s="42">
        <v>4</v>
      </c>
      <c r="F38" s="41">
        <v>2</v>
      </c>
      <c r="G38" s="42">
        <v>1</v>
      </c>
      <c r="H38" s="41">
        <v>3</v>
      </c>
      <c r="I38" s="42">
        <v>1</v>
      </c>
      <c r="J38" s="41">
        <v>0</v>
      </c>
      <c r="K38" s="42">
        <v>0</v>
      </c>
      <c r="L38" s="41">
        <v>3</v>
      </c>
      <c r="M38" s="42">
        <v>4</v>
      </c>
      <c r="N38" s="41">
        <v>1</v>
      </c>
      <c r="O38" s="42">
        <v>0</v>
      </c>
      <c r="P38" s="41">
        <f aca="true" t="shared" si="3" ref="P38:Q42">N38+L38+J38+H38+F38+D38+B38</f>
        <v>53</v>
      </c>
      <c r="Q38" s="43">
        <f t="shared" si="3"/>
        <v>41</v>
      </c>
      <c r="R38" s="44">
        <f>Q38+P38</f>
        <v>94</v>
      </c>
    </row>
    <row r="39" spans="1:18" s="11" customFormat="1" ht="11.25" customHeight="1">
      <c r="A39" s="1" t="s">
        <v>49</v>
      </c>
      <c r="B39" s="41">
        <v>31</v>
      </c>
      <c r="C39" s="42">
        <v>25</v>
      </c>
      <c r="D39" s="41">
        <v>0</v>
      </c>
      <c r="E39" s="42">
        <v>3</v>
      </c>
      <c r="F39" s="41">
        <v>1</v>
      </c>
      <c r="G39" s="42">
        <v>1</v>
      </c>
      <c r="H39" s="41">
        <v>3</v>
      </c>
      <c r="I39" s="42">
        <v>1</v>
      </c>
      <c r="J39" s="41">
        <v>1</v>
      </c>
      <c r="K39" s="42">
        <v>1</v>
      </c>
      <c r="L39" s="41">
        <v>1</v>
      </c>
      <c r="M39" s="42">
        <v>3</v>
      </c>
      <c r="N39" s="41">
        <v>1</v>
      </c>
      <c r="O39" s="42">
        <v>0</v>
      </c>
      <c r="P39" s="41">
        <f t="shared" si="3"/>
        <v>38</v>
      </c>
      <c r="Q39" s="43">
        <f t="shared" si="3"/>
        <v>34</v>
      </c>
      <c r="R39" s="44">
        <f>Q39+P39</f>
        <v>72</v>
      </c>
    </row>
    <row r="40" spans="1:18" s="11" customFormat="1" ht="11.25" customHeight="1">
      <c r="A40" s="1" t="s">
        <v>50</v>
      </c>
      <c r="B40" s="41">
        <v>46</v>
      </c>
      <c r="C40" s="42">
        <v>28</v>
      </c>
      <c r="D40" s="41">
        <v>2</v>
      </c>
      <c r="E40" s="42">
        <v>5</v>
      </c>
      <c r="F40" s="41">
        <v>1</v>
      </c>
      <c r="G40" s="42">
        <v>2</v>
      </c>
      <c r="H40" s="41">
        <v>5</v>
      </c>
      <c r="I40" s="42">
        <v>3</v>
      </c>
      <c r="J40" s="41">
        <v>1</v>
      </c>
      <c r="K40" s="42">
        <v>1</v>
      </c>
      <c r="L40" s="41">
        <v>1</v>
      </c>
      <c r="M40" s="42">
        <v>2</v>
      </c>
      <c r="N40" s="41">
        <v>0</v>
      </c>
      <c r="O40" s="42">
        <v>0</v>
      </c>
      <c r="P40" s="41">
        <f t="shared" si="3"/>
        <v>56</v>
      </c>
      <c r="Q40" s="43">
        <f t="shared" si="3"/>
        <v>41</v>
      </c>
      <c r="R40" s="44">
        <f>Q40+P40</f>
        <v>97</v>
      </c>
    </row>
    <row r="41" spans="1:18" s="11" customFormat="1" ht="11.25" customHeight="1">
      <c r="A41" s="1" t="s">
        <v>52</v>
      </c>
      <c r="B41" s="41">
        <v>86</v>
      </c>
      <c r="C41" s="42">
        <v>48</v>
      </c>
      <c r="D41" s="41">
        <v>5</v>
      </c>
      <c r="E41" s="42">
        <v>7</v>
      </c>
      <c r="F41" s="41">
        <v>1</v>
      </c>
      <c r="G41" s="42">
        <v>4</v>
      </c>
      <c r="H41" s="41">
        <v>6</v>
      </c>
      <c r="I41" s="42">
        <v>4</v>
      </c>
      <c r="J41" s="41">
        <v>0</v>
      </c>
      <c r="K41" s="42">
        <v>0</v>
      </c>
      <c r="L41" s="41">
        <v>8</v>
      </c>
      <c r="M41" s="42">
        <v>2</v>
      </c>
      <c r="N41" s="41">
        <v>1</v>
      </c>
      <c r="O41" s="42">
        <v>1</v>
      </c>
      <c r="P41" s="41">
        <f t="shared" si="3"/>
        <v>107</v>
      </c>
      <c r="Q41" s="43">
        <f t="shared" si="3"/>
        <v>66</v>
      </c>
      <c r="R41" s="44">
        <f>Q41+P41</f>
        <v>173</v>
      </c>
    </row>
    <row r="42" spans="1:18" s="11" customFormat="1" ht="11.25" customHeight="1">
      <c r="A42" s="1" t="s">
        <v>57</v>
      </c>
      <c r="B42" s="41">
        <v>90</v>
      </c>
      <c r="C42" s="42">
        <v>53</v>
      </c>
      <c r="D42" s="41">
        <v>7</v>
      </c>
      <c r="E42" s="42">
        <v>8</v>
      </c>
      <c r="F42" s="41">
        <v>0</v>
      </c>
      <c r="G42" s="42">
        <v>3</v>
      </c>
      <c r="H42" s="41">
        <v>4</v>
      </c>
      <c r="I42" s="42">
        <v>3</v>
      </c>
      <c r="J42" s="41">
        <v>1</v>
      </c>
      <c r="K42" s="42">
        <v>4</v>
      </c>
      <c r="L42" s="41">
        <v>14</v>
      </c>
      <c r="M42" s="42">
        <v>6</v>
      </c>
      <c r="N42" s="41">
        <v>2</v>
      </c>
      <c r="O42" s="42">
        <v>1</v>
      </c>
      <c r="P42" s="41">
        <f t="shared" si="3"/>
        <v>118</v>
      </c>
      <c r="Q42" s="43">
        <f t="shared" si="3"/>
        <v>78</v>
      </c>
      <c r="R42" s="44">
        <f>Q42+P42</f>
        <v>196</v>
      </c>
    </row>
    <row r="43" spans="1:18" s="11" customFormat="1" ht="11.25" customHeight="1">
      <c r="A43" s="15"/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21"/>
      <c r="N43" s="12"/>
      <c r="O43" s="21"/>
      <c r="P43" s="12"/>
      <c r="Q43" s="21"/>
      <c r="R43" s="14"/>
    </row>
    <row r="45" ht="11.25" customHeight="1">
      <c r="A45" s="73"/>
    </row>
    <row r="48" ht="11.25" customHeight="1">
      <c r="A48" s="73"/>
    </row>
  </sheetData>
  <mergeCells count="8">
    <mergeCell ref="N3:O3"/>
    <mergeCell ref="N13:O13"/>
    <mergeCell ref="N24:O24"/>
    <mergeCell ref="N35:O35"/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horizontalDpi="300" verticalDpi="300" orientation="landscape" scale="93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44"/>
  <sheetViews>
    <sheetView zoomScale="115" zoomScaleNormal="115" workbookViewId="0" topLeftCell="A1">
      <selection activeCell="A14" sqref="A14"/>
    </sheetView>
  </sheetViews>
  <sheetFormatPr defaultColWidth="9.140625" defaultRowHeight="11.2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1.25" customHeight="1">
      <c r="A1" s="17" t="s">
        <v>27</v>
      </c>
      <c r="B1" s="11"/>
      <c r="C1" s="11"/>
      <c r="D1" s="11"/>
      <c r="E1" s="11"/>
      <c r="F1" s="11"/>
      <c r="G1" s="11"/>
      <c r="H1" s="11"/>
    </row>
    <row r="2" spans="1:8" ht="11.25" customHeight="1">
      <c r="A2" s="17"/>
      <c r="B2" s="11"/>
      <c r="C2" s="11"/>
      <c r="D2" s="11"/>
      <c r="E2" s="11"/>
      <c r="F2" s="11"/>
      <c r="G2" s="11"/>
      <c r="H2" s="11"/>
    </row>
    <row r="3" ht="11.25" customHeight="1">
      <c r="A3" s="1" t="s">
        <v>13</v>
      </c>
    </row>
    <row r="4" spans="1:4" ht="11.25" customHeight="1">
      <c r="A4" s="1" t="s">
        <v>11</v>
      </c>
      <c r="B4" s="52" t="s">
        <v>16</v>
      </c>
      <c r="C4" s="52" t="s">
        <v>14</v>
      </c>
      <c r="D4" s="52" t="s">
        <v>15</v>
      </c>
    </row>
    <row r="5" spans="2:4" ht="11.25" customHeight="1">
      <c r="B5" s="10"/>
      <c r="C5" s="10"/>
      <c r="D5" s="10"/>
    </row>
    <row r="6" spans="1:4" ht="11.25" customHeight="1">
      <c r="A6" s="1" t="s">
        <v>42</v>
      </c>
      <c r="B6" s="9">
        <v>99</v>
      </c>
      <c r="C6" s="9">
        <f>MGT!R27</f>
        <v>276</v>
      </c>
      <c r="D6" s="9">
        <v>268</v>
      </c>
    </row>
    <row r="7" spans="1:4" ht="11.25" customHeight="1">
      <c r="A7" s="1" t="s">
        <v>49</v>
      </c>
      <c r="B7" s="9">
        <v>116</v>
      </c>
      <c r="C7" s="9">
        <f>MGT!R28</f>
        <v>269</v>
      </c>
      <c r="D7" s="9">
        <v>271</v>
      </c>
    </row>
    <row r="8" spans="1:4" ht="11.25" customHeight="1">
      <c r="A8" s="1" t="s">
        <v>50</v>
      </c>
      <c r="B8" s="9">
        <v>129</v>
      </c>
      <c r="C8" s="9">
        <f>MGT!R29</f>
        <v>306</v>
      </c>
      <c r="D8" s="9">
        <v>272</v>
      </c>
    </row>
    <row r="9" spans="1:4" ht="11.25" customHeight="1">
      <c r="A9" s="1" t="s">
        <v>52</v>
      </c>
      <c r="B9" s="9">
        <v>130</v>
      </c>
      <c r="C9" s="9">
        <f>MGT!R30</f>
        <v>338</v>
      </c>
      <c r="D9" s="9">
        <v>313</v>
      </c>
    </row>
    <row r="10" spans="1:4" ht="11.25" customHeight="1">
      <c r="A10" s="1" t="s">
        <v>57</v>
      </c>
      <c r="B10" s="9">
        <v>127</v>
      </c>
      <c r="C10" s="9">
        <f>MGT!R31</f>
        <v>368</v>
      </c>
      <c r="D10" s="9">
        <v>358</v>
      </c>
    </row>
    <row r="11" spans="1:4" ht="11.25" customHeight="1">
      <c r="A11" s="1"/>
      <c r="B11" s="6"/>
      <c r="C11" s="6"/>
      <c r="D11" s="6"/>
    </row>
    <row r="12" ht="11.25" customHeight="1">
      <c r="A12" s="16"/>
    </row>
    <row r="13" ht="11.25" customHeight="1">
      <c r="A13" s="1" t="s">
        <v>17</v>
      </c>
    </row>
    <row r="14" spans="1:4" s="26" customFormat="1" ht="11.25" customHeight="1">
      <c r="A14" s="1" t="s">
        <v>11</v>
      </c>
      <c r="B14" s="33" t="s">
        <v>16</v>
      </c>
      <c r="C14" s="33" t="s">
        <v>14</v>
      </c>
      <c r="D14" s="33" t="s">
        <v>15</v>
      </c>
    </row>
    <row r="15" spans="2:4" ht="11.25" customHeight="1">
      <c r="B15" s="10"/>
      <c r="C15" s="10"/>
      <c r="D15" s="10"/>
    </row>
    <row r="16" spans="1:4" ht="11.25" customHeight="1">
      <c r="A16" s="1" t="s">
        <v>42</v>
      </c>
      <c r="B16" s="9">
        <v>56</v>
      </c>
      <c r="C16" s="9">
        <f>MGT!R38</f>
        <v>94</v>
      </c>
      <c r="D16" s="9">
        <v>70</v>
      </c>
    </row>
    <row r="17" spans="1:4" ht="11.25" customHeight="1">
      <c r="A17" s="1" t="s">
        <v>49</v>
      </c>
      <c r="B17" s="9">
        <v>45</v>
      </c>
      <c r="C17" s="9">
        <f>MGT!R39</f>
        <v>72</v>
      </c>
      <c r="D17" s="9">
        <v>76</v>
      </c>
    </row>
    <row r="18" spans="1:4" ht="11.25" customHeight="1">
      <c r="A18" s="1" t="s">
        <v>50</v>
      </c>
      <c r="B18" s="9">
        <v>52</v>
      </c>
      <c r="C18" s="9">
        <f>MGT!R40</f>
        <v>97</v>
      </c>
      <c r="D18" s="9">
        <v>118</v>
      </c>
    </row>
    <row r="19" spans="1:4" ht="11.25" customHeight="1">
      <c r="A19" s="1" t="s">
        <v>52</v>
      </c>
      <c r="B19" s="9">
        <v>102</v>
      </c>
      <c r="C19" s="9">
        <f>MGT!R41</f>
        <v>173</v>
      </c>
      <c r="D19" s="9">
        <v>176</v>
      </c>
    </row>
    <row r="20" spans="1:4" ht="11.25" customHeight="1">
      <c r="A20" s="1" t="s">
        <v>57</v>
      </c>
      <c r="B20" s="9">
        <v>132</v>
      </c>
      <c r="C20" s="9">
        <f>MGT!R42</f>
        <v>196</v>
      </c>
      <c r="D20" s="9">
        <v>179</v>
      </c>
    </row>
    <row r="21" spans="1:4" ht="11.25" customHeight="1">
      <c r="A21" s="1"/>
      <c r="B21" s="6"/>
      <c r="C21" s="6"/>
      <c r="D21" s="6"/>
    </row>
    <row r="23" spans="1:8" s="26" customFormat="1" ht="11.25" customHeight="1">
      <c r="A23" s="1" t="s">
        <v>46</v>
      </c>
      <c r="B23" s="29" t="s">
        <v>13</v>
      </c>
      <c r="C23" s="29" t="s">
        <v>13</v>
      </c>
      <c r="D23" s="29" t="s">
        <v>7</v>
      </c>
      <c r="E23" s="29" t="s">
        <v>17</v>
      </c>
      <c r="F23" s="29" t="s">
        <v>17</v>
      </c>
      <c r="G23" s="30" t="s">
        <v>7</v>
      </c>
      <c r="H23" s="30" t="s">
        <v>8</v>
      </c>
    </row>
    <row r="24" spans="1:8" s="26" customFormat="1" ht="11.25" customHeight="1">
      <c r="A24" s="1"/>
      <c r="B24" s="31" t="s">
        <v>18</v>
      </c>
      <c r="C24" s="31" t="s">
        <v>19</v>
      </c>
      <c r="D24" s="31" t="s">
        <v>13</v>
      </c>
      <c r="E24" s="31" t="s">
        <v>20</v>
      </c>
      <c r="F24" s="31" t="s">
        <v>21</v>
      </c>
      <c r="G24" s="32" t="s">
        <v>17</v>
      </c>
      <c r="H24" s="32" t="s">
        <v>7</v>
      </c>
    </row>
    <row r="25" spans="2:8" ht="11.25" customHeight="1">
      <c r="B25" s="3"/>
      <c r="C25" s="3"/>
      <c r="D25" s="3"/>
      <c r="E25" s="3"/>
      <c r="F25" s="3"/>
      <c r="G25" s="3"/>
      <c r="H25" s="10"/>
    </row>
    <row r="26" spans="1:8" ht="11.25" customHeight="1">
      <c r="A26" s="1" t="s">
        <v>42</v>
      </c>
      <c r="B26" s="46">
        <v>87</v>
      </c>
      <c r="C26" s="46">
        <f>342+1257+1209</f>
        <v>2808</v>
      </c>
      <c r="D26" s="46">
        <f>C26+B26</f>
        <v>2895</v>
      </c>
      <c r="E26" s="46">
        <f>147+186+318</f>
        <v>651</v>
      </c>
      <c r="F26" s="46">
        <v>0</v>
      </c>
      <c r="G26" s="46">
        <f>F26+E26</f>
        <v>651</v>
      </c>
      <c r="H26" s="48">
        <f>G26+D26</f>
        <v>3546</v>
      </c>
    </row>
    <row r="27" spans="1:8" ht="11.25" customHeight="1">
      <c r="A27" s="1" t="s">
        <v>49</v>
      </c>
      <c r="B27" s="46">
        <f>69</f>
        <v>69</v>
      </c>
      <c r="C27" s="46">
        <f>324+1248+1287</f>
        <v>2859</v>
      </c>
      <c r="D27" s="46">
        <f>C27+B27</f>
        <v>2928</v>
      </c>
      <c r="E27" s="46">
        <f>84+195+138</f>
        <v>417</v>
      </c>
      <c r="F27" s="46">
        <v>0</v>
      </c>
      <c r="G27" s="46">
        <f>F27+E27</f>
        <v>417</v>
      </c>
      <c r="H27" s="48">
        <f>G27+D27</f>
        <v>3345</v>
      </c>
    </row>
    <row r="28" spans="1:8" ht="11.25" customHeight="1">
      <c r="A28" s="1" t="s">
        <v>50</v>
      </c>
      <c r="B28" s="46">
        <v>78</v>
      </c>
      <c r="C28" s="46">
        <v>3071</v>
      </c>
      <c r="D28" s="46">
        <f>C28+B28</f>
        <v>3149</v>
      </c>
      <c r="E28" s="46">
        <v>720</v>
      </c>
      <c r="F28" s="46">
        <v>0</v>
      </c>
      <c r="G28" s="46">
        <f>F28+E28</f>
        <v>720</v>
      </c>
      <c r="H28" s="48">
        <f>G28+D28</f>
        <v>3869</v>
      </c>
    </row>
    <row r="29" spans="1:8" ht="11.25" customHeight="1">
      <c r="A29" s="1" t="s">
        <v>52</v>
      </c>
      <c r="B29" s="46">
        <v>0</v>
      </c>
      <c r="C29" s="46">
        <v>3350</v>
      </c>
      <c r="D29" s="46">
        <f>C29+B29</f>
        <v>3350</v>
      </c>
      <c r="E29" s="46">
        <v>1077</v>
      </c>
      <c r="F29" s="46">
        <v>0</v>
      </c>
      <c r="G29" s="46">
        <f>F29+E29</f>
        <v>1077</v>
      </c>
      <c r="H29" s="48">
        <f>G29+D29</f>
        <v>4427</v>
      </c>
    </row>
    <row r="30" spans="1:8" ht="11.25" customHeight="1">
      <c r="A30" s="1" t="s">
        <v>57</v>
      </c>
      <c r="B30" s="46">
        <v>0</v>
      </c>
      <c r="C30" s="46">
        <v>4105</v>
      </c>
      <c r="D30" s="46">
        <f>C30+B30</f>
        <v>4105</v>
      </c>
      <c r="E30" s="46">
        <v>1195</v>
      </c>
      <c r="F30" s="46">
        <v>0</v>
      </c>
      <c r="G30" s="46">
        <f>F30+E30</f>
        <v>1195</v>
      </c>
      <c r="H30" s="48">
        <f>G30+D30</f>
        <v>5300</v>
      </c>
    </row>
    <row r="31" spans="1:8" ht="11.25" customHeight="1">
      <c r="A31" s="16"/>
      <c r="B31" s="12"/>
      <c r="C31" s="12"/>
      <c r="D31" s="12"/>
      <c r="E31" s="12"/>
      <c r="F31" s="12"/>
      <c r="G31" s="12"/>
      <c r="H31" s="14"/>
    </row>
    <row r="33" spans="1:8" s="26" customFormat="1" ht="11.25" customHeight="1">
      <c r="A33" s="1" t="s">
        <v>47</v>
      </c>
      <c r="B33" s="29" t="s">
        <v>13</v>
      </c>
      <c r="C33" s="29" t="s">
        <v>13</v>
      </c>
      <c r="D33" s="29" t="s">
        <v>7</v>
      </c>
      <c r="E33" s="29" t="s">
        <v>17</v>
      </c>
      <c r="F33" s="29" t="s">
        <v>22</v>
      </c>
      <c r="G33" s="29" t="s">
        <v>23</v>
      </c>
      <c r="H33" s="30" t="s">
        <v>8</v>
      </c>
    </row>
    <row r="34" spans="2:8" s="26" customFormat="1" ht="11.25" customHeight="1">
      <c r="B34" s="31" t="s">
        <v>18</v>
      </c>
      <c r="C34" s="31" t="s">
        <v>19</v>
      </c>
      <c r="D34" s="31" t="s">
        <v>13</v>
      </c>
      <c r="E34" s="31" t="s">
        <v>20</v>
      </c>
      <c r="F34" s="31" t="s">
        <v>21</v>
      </c>
      <c r="G34" s="31" t="s">
        <v>17</v>
      </c>
      <c r="H34" s="32" t="s">
        <v>7</v>
      </c>
    </row>
    <row r="35" spans="2:8" ht="11.25" customHeight="1">
      <c r="B35" s="7"/>
      <c r="C35" s="7"/>
      <c r="D35" s="7"/>
      <c r="E35" s="7"/>
      <c r="F35" s="7"/>
      <c r="G35" s="7"/>
      <c r="H35" s="9"/>
    </row>
    <row r="36" spans="1:8" ht="11.25" customHeight="1">
      <c r="A36" s="1" t="s">
        <v>42</v>
      </c>
      <c r="B36" s="23">
        <f>SUM(B26*0.95)</f>
        <v>82.64999999999999</v>
      </c>
      <c r="C36" s="23">
        <f>SUM(C26*1.29)</f>
        <v>3622.32</v>
      </c>
      <c r="D36" s="23">
        <f>C36+B36</f>
        <v>3704.9700000000003</v>
      </c>
      <c r="E36" s="23">
        <f>SUM(E26*3.27)</f>
        <v>2128.77</v>
      </c>
      <c r="F36" s="23">
        <v>0</v>
      </c>
      <c r="G36" s="23">
        <f>F36+E36</f>
        <v>2128.77</v>
      </c>
      <c r="H36" s="24">
        <f>G36+D36</f>
        <v>5833.74</v>
      </c>
    </row>
    <row r="37" spans="1:8" ht="11.25" customHeight="1">
      <c r="A37" s="1" t="s">
        <v>49</v>
      </c>
      <c r="B37" s="23">
        <f>SUM(B27*0.95)</f>
        <v>65.55</v>
      </c>
      <c r="C37" s="23">
        <f>SUM(C27*1.29)</f>
        <v>3688.11</v>
      </c>
      <c r="D37" s="23">
        <f>C37+B37</f>
        <v>3753.6600000000003</v>
      </c>
      <c r="E37" s="23">
        <f>SUM(E27*3.27)</f>
        <v>1363.59</v>
      </c>
      <c r="F37" s="23">
        <v>0</v>
      </c>
      <c r="G37" s="23">
        <f>F37+E37</f>
        <v>1363.59</v>
      </c>
      <c r="H37" s="24">
        <f>G37+D37</f>
        <v>5117.25</v>
      </c>
    </row>
    <row r="38" spans="1:8" ht="11.25" customHeight="1">
      <c r="A38" s="1" t="s">
        <v>50</v>
      </c>
      <c r="B38" s="23">
        <f>SUM(B28*0.95)</f>
        <v>74.1</v>
      </c>
      <c r="C38" s="23">
        <f>SUM(C28*1.29)</f>
        <v>3961.59</v>
      </c>
      <c r="D38" s="23">
        <f>C38+B38</f>
        <v>4035.69</v>
      </c>
      <c r="E38" s="23">
        <f>SUM(E28*3.27)</f>
        <v>2354.4</v>
      </c>
      <c r="F38" s="23">
        <v>0</v>
      </c>
      <c r="G38" s="23">
        <f>F38+E38</f>
        <v>2354.4</v>
      </c>
      <c r="H38" s="24">
        <f>G38+D38</f>
        <v>6390.09</v>
      </c>
    </row>
    <row r="39" spans="1:8" ht="11.25" customHeight="1">
      <c r="A39" s="1" t="s">
        <v>52</v>
      </c>
      <c r="B39" s="23">
        <f>SUM(B29*0.95)</f>
        <v>0</v>
      </c>
      <c r="C39" s="23">
        <f>SUM(C29*1.29)</f>
        <v>4321.5</v>
      </c>
      <c r="D39" s="23">
        <f>C39+B39</f>
        <v>4321.5</v>
      </c>
      <c r="E39" s="23">
        <f>SUM(E29*3.27)</f>
        <v>3521.79</v>
      </c>
      <c r="F39" s="23">
        <v>0</v>
      </c>
      <c r="G39" s="23">
        <f>F39+E39</f>
        <v>3521.79</v>
      </c>
      <c r="H39" s="24">
        <f>G39+D39</f>
        <v>7843.29</v>
      </c>
    </row>
    <row r="40" spans="1:8" ht="11.25" customHeight="1">
      <c r="A40" s="1" t="s">
        <v>57</v>
      </c>
      <c r="B40" s="23">
        <f>SUM(B30*0.95)</f>
        <v>0</v>
      </c>
      <c r="C40" s="23">
        <f>SUM(C30*1.29)</f>
        <v>5295.45</v>
      </c>
      <c r="D40" s="23">
        <f>C40+B40</f>
        <v>5295.45</v>
      </c>
      <c r="E40" s="23">
        <f>SUM(E30*3.27)</f>
        <v>3907.65</v>
      </c>
      <c r="F40" s="23">
        <v>0</v>
      </c>
      <c r="G40" s="23">
        <f>F40+E40</f>
        <v>3907.65</v>
      </c>
      <c r="H40" s="24">
        <f>G40+D40</f>
        <v>9203.1</v>
      </c>
    </row>
    <row r="41" spans="1:8" ht="11.25" customHeight="1">
      <c r="A41" s="16"/>
      <c r="B41" s="12"/>
      <c r="C41" s="12"/>
      <c r="D41" s="12"/>
      <c r="E41" s="12"/>
      <c r="F41" s="12"/>
      <c r="G41" s="12"/>
      <c r="H41" s="14"/>
    </row>
    <row r="43" ht="11.25" customHeight="1">
      <c r="A43" s="56" t="s">
        <v>48</v>
      </c>
    </row>
    <row r="44" ht="11.25" customHeight="1">
      <c r="A44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93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98"/>
  <sheetViews>
    <sheetView workbookViewId="0" topLeftCell="A1">
      <selection activeCell="A14" sqref="A14"/>
    </sheetView>
  </sheetViews>
  <sheetFormatPr defaultColWidth="9.140625" defaultRowHeight="10.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1.25" customHeight="1">
      <c r="A1" s="18" t="s">
        <v>55</v>
      </c>
    </row>
    <row r="2" ht="11.25" customHeight="1">
      <c r="A2" s="18"/>
    </row>
    <row r="3" spans="1:18" s="26" customFormat="1" ht="11.2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93" t="s">
        <v>38</v>
      </c>
      <c r="O3" s="94"/>
      <c r="P3" s="35" t="s">
        <v>7</v>
      </c>
      <c r="Q3" s="36"/>
      <c r="R3" s="30" t="s">
        <v>8</v>
      </c>
    </row>
    <row r="4" spans="1:18" s="26" customFormat="1" ht="11.25" customHeight="1">
      <c r="A4" s="1" t="s">
        <v>40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1.2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7"/>
      <c r="O5" s="77"/>
      <c r="P5" s="3"/>
      <c r="Q5" s="4"/>
      <c r="R5" s="10"/>
    </row>
    <row r="6" spans="1:18" ht="11.25" customHeight="1">
      <c r="A6" s="1" t="s">
        <v>42</v>
      </c>
      <c r="B6" s="41">
        <v>30</v>
      </c>
      <c r="C6" s="43">
        <v>13</v>
      </c>
      <c r="D6" s="41">
        <v>4</v>
      </c>
      <c r="E6" s="43">
        <v>6</v>
      </c>
      <c r="F6" s="41">
        <v>1</v>
      </c>
      <c r="G6" s="43">
        <v>0</v>
      </c>
      <c r="H6" s="41">
        <v>2</v>
      </c>
      <c r="I6" s="43">
        <v>2</v>
      </c>
      <c r="J6" s="41">
        <v>0</v>
      </c>
      <c r="K6" s="43">
        <v>0</v>
      </c>
      <c r="L6" s="41">
        <v>5</v>
      </c>
      <c r="M6" s="43">
        <v>0</v>
      </c>
      <c r="N6" s="42">
        <v>0</v>
      </c>
      <c r="O6" s="42">
        <v>0</v>
      </c>
      <c r="P6" s="41">
        <f aca="true" t="shared" si="0" ref="P6:Q10">N6+L6+J6+H6+F6+D6+B6</f>
        <v>42</v>
      </c>
      <c r="Q6" s="43">
        <f t="shared" si="0"/>
        <v>21</v>
      </c>
      <c r="R6" s="44">
        <f>Q6+P6</f>
        <v>63</v>
      </c>
    </row>
    <row r="7" spans="1:18" ht="11.25" customHeight="1">
      <c r="A7" s="1" t="s">
        <v>49</v>
      </c>
      <c r="B7" s="41">
        <v>25</v>
      </c>
      <c r="C7" s="43">
        <v>7</v>
      </c>
      <c r="D7" s="41">
        <v>1</v>
      </c>
      <c r="E7" s="43">
        <v>2</v>
      </c>
      <c r="F7" s="41">
        <v>1</v>
      </c>
      <c r="G7" s="43">
        <v>0</v>
      </c>
      <c r="H7" s="41">
        <v>2</v>
      </c>
      <c r="I7" s="43">
        <v>0</v>
      </c>
      <c r="J7" s="41">
        <v>1</v>
      </c>
      <c r="K7" s="43">
        <v>0</v>
      </c>
      <c r="L7" s="41">
        <v>1</v>
      </c>
      <c r="M7" s="43">
        <v>0</v>
      </c>
      <c r="N7" s="42">
        <v>0</v>
      </c>
      <c r="O7" s="42">
        <v>0</v>
      </c>
      <c r="P7" s="41">
        <f t="shared" si="0"/>
        <v>31</v>
      </c>
      <c r="Q7" s="43">
        <f t="shared" si="0"/>
        <v>9</v>
      </c>
      <c r="R7" s="44">
        <f>Q7+P7</f>
        <v>40</v>
      </c>
    </row>
    <row r="8" spans="1:18" ht="11.25" customHeight="1">
      <c r="A8" s="1" t="s">
        <v>50</v>
      </c>
      <c r="B8" s="41">
        <v>29</v>
      </c>
      <c r="C8" s="43">
        <v>6</v>
      </c>
      <c r="D8" s="41">
        <v>5</v>
      </c>
      <c r="E8" s="43">
        <v>6</v>
      </c>
      <c r="F8" s="41">
        <v>0</v>
      </c>
      <c r="G8" s="43">
        <v>0</v>
      </c>
      <c r="H8" s="41">
        <v>1</v>
      </c>
      <c r="I8" s="43">
        <v>3</v>
      </c>
      <c r="J8" s="41">
        <v>0</v>
      </c>
      <c r="K8" s="43">
        <v>0</v>
      </c>
      <c r="L8" s="41">
        <v>0</v>
      </c>
      <c r="M8" s="43">
        <v>0</v>
      </c>
      <c r="N8" s="42">
        <v>0</v>
      </c>
      <c r="O8" s="42">
        <v>1</v>
      </c>
      <c r="P8" s="41">
        <f t="shared" si="0"/>
        <v>35</v>
      </c>
      <c r="Q8" s="43">
        <f t="shared" si="0"/>
        <v>16</v>
      </c>
      <c r="R8" s="44">
        <f>Q8+P8</f>
        <v>51</v>
      </c>
    </row>
    <row r="9" spans="1:18" ht="11.25" customHeight="1">
      <c r="A9" s="1" t="s">
        <v>52</v>
      </c>
      <c r="B9" s="41">
        <v>25</v>
      </c>
      <c r="C9" s="43">
        <v>6</v>
      </c>
      <c r="D9" s="41">
        <v>3</v>
      </c>
      <c r="E9" s="43">
        <v>4</v>
      </c>
      <c r="F9" s="41">
        <v>0</v>
      </c>
      <c r="G9" s="43">
        <v>0</v>
      </c>
      <c r="H9" s="41">
        <v>0</v>
      </c>
      <c r="I9" s="43">
        <v>2</v>
      </c>
      <c r="J9" s="41">
        <v>0</v>
      </c>
      <c r="K9" s="43">
        <v>0</v>
      </c>
      <c r="L9" s="41">
        <v>0</v>
      </c>
      <c r="M9" s="43">
        <v>0</v>
      </c>
      <c r="N9" s="42">
        <v>0</v>
      </c>
      <c r="O9" s="42">
        <v>0</v>
      </c>
      <c r="P9" s="41">
        <f t="shared" si="0"/>
        <v>28</v>
      </c>
      <c r="Q9" s="43">
        <f t="shared" si="0"/>
        <v>12</v>
      </c>
      <c r="R9" s="44">
        <f>Q9+P9</f>
        <v>40</v>
      </c>
    </row>
    <row r="10" spans="1:18" ht="11.25" customHeight="1">
      <c r="A10" s="1" t="s">
        <v>57</v>
      </c>
      <c r="B10" s="41">
        <v>25</v>
      </c>
      <c r="C10" s="43">
        <v>8</v>
      </c>
      <c r="D10" s="41">
        <v>4</v>
      </c>
      <c r="E10" s="43">
        <v>1</v>
      </c>
      <c r="F10" s="41">
        <v>0</v>
      </c>
      <c r="G10" s="43">
        <v>0</v>
      </c>
      <c r="H10" s="41">
        <v>1</v>
      </c>
      <c r="I10" s="43">
        <v>0</v>
      </c>
      <c r="J10" s="41">
        <v>0</v>
      </c>
      <c r="K10" s="43">
        <v>1</v>
      </c>
      <c r="L10" s="41">
        <v>1</v>
      </c>
      <c r="M10" s="43">
        <v>0</v>
      </c>
      <c r="N10" s="42">
        <v>0</v>
      </c>
      <c r="O10" s="42">
        <v>0</v>
      </c>
      <c r="P10" s="41">
        <f t="shared" si="0"/>
        <v>31</v>
      </c>
      <c r="Q10" s="43">
        <f t="shared" si="0"/>
        <v>10</v>
      </c>
      <c r="R10" s="44">
        <f>Q10+P10</f>
        <v>41</v>
      </c>
    </row>
    <row r="11" spans="2:18" ht="11.2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spans="2:18" ht="11.2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25" customHeight="1">
      <c r="A13" s="16"/>
      <c r="B13" s="35" t="s">
        <v>1</v>
      </c>
      <c r="C13" s="36"/>
      <c r="D13" s="35" t="s">
        <v>2</v>
      </c>
      <c r="E13" s="36"/>
      <c r="F13" s="35" t="s">
        <v>3</v>
      </c>
      <c r="G13" s="36"/>
      <c r="H13" s="35" t="s">
        <v>4</v>
      </c>
      <c r="I13" s="36"/>
      <c r="J13" s="35" t="s">
        <v>5</v>
      </c>
      <c r="K13" s="36"/>
      <c r="L13" s="35" t="s">
        <v>6</v>
      </c>
      <c r="M13" s="36"/>
      <c r="N13" s="93" t="s">
        <v>38</v>
      </c>
      <c r="O13" s="94"/>
      <c r="P13" s="35" t="s">
        <v>7</v>
      </c>
      <c r="Q13" s="36"/>
      <c r="R13" s="30" t="s">
        <v>8</v>
      </c>
    </row>
    <row r="14" spans="1:18" ht="11.25" customHeight="1">
      <c r="A14" s="53" t="s">
        <v>54</v>
      </c>
      <c r="B14" s="31" t="s">
        <v>9</v>
      </c>
      <c r="C14" s="34" t="s">
        <v>10</v>
      </c>
      <c r="D14" s="31" t="s">
        <v>9</v>
      </c>
      <c r="E14" s="34" t="s">
        <v>10</v>
      </c>
      <c r="F14" s="31" t="s">
        <v>9</v>
      </c>
      <c r="G14" s="34" t="s">
        <v>10</v>
      </c>
      <c r="H14" s="31" t="s">
        <v>9</v>
      </c>
      <c r="I14" s="34" t="s">
        <v>10</v>
      </c>
      <c r="J14" s="31" t="s">
        <v>9</v>
      </c>
      <c r="K14" s="34" t="s">
        <v>10</v>
      </c>
      <c r="L14" s="31" t="s">
        <v>9</v>
      </c>
      <c r="M14" s="34" t="s">
        <v>10</v>
      </c>
      <c r="N14" s="31" t="s">
        <v>9</v>
      </c>
      <c r="O14" s="34" t="s">
        <v>10</v>
      </c>
      <c r="P14" s="31" t="s">
        <v>9</v>
      </c>
      <c r="Q14" s="34" t="s">
        <v>10</v>
      </c>
      <c r="R14" s="32" t="s">
        <v>7</v>
      </c>
    </row>
    <row r="15" spans="1:18" ht="11.25" customHeight="1">
      <c r="A15" s="16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77"/>
      <c r="O15" s="77"/>
      <c r="P15" s="3"/>
      <c r="Q15" s="4"/>
      <c r="R15" s="10"/>
    </row>
    <row r="16" spans="1:18" s="72" customFormat="1" ht="11.25" customHeight="1">
      <c r="A16" s="1" t="s">
        <v>42</v>
      </c>
      <c r="B16" s="37">
        <v>10</v>
      </c>
      <c r="C16" s="38">
        <v>2</v>
      </c>
      <c r="D16" s="37">
        <v>2</v>
      </c>
      <c r="E16" s="38">
        <v>0</v>
      </c>
      <c r="F16" s="37">
        <v>0</v>
      </c>
      <c r="G16" s="38">
        <v>0</v>
      </c>
      <c r="H16" s="37">
        <v>0</v>
      </c>
      <c r="I16" s="38">
        <v>0</v>
      </c>
      <c r="J16" s="37">
        <v>0</v>
      </c>
      <c r="K16" s="38">
        <v>0</v>
      </c>
      <c r="L16" s="37">
        <v>1</v>
      </c>
      <c r="M16" s="38">
        <v>2</v>
      </c>
      <c r="N16" s="42">
        <v>0</v>
      </c>
      <c r="O16" s="42">
        <v>0</v>
      </c>
      <c r="P16" s="41">
        <f aca="true" t="shared" si="1" ref="P16:Q20">N16+L16+J16+H16+F16+D16+B16</f>
        <v>13</v>
      </c>
      <c r="Q16" s="43">
        <f t="shared" si="1"/>
        <v>4</v>
      </c>
      <c r="R16" s="39">
        <f>Q16+P16</f>
        <v>17</v>
      </c>
    </row>
    <row r="17" spans="1:18" s="72" customFormat="1" ht="11.25" customHeight="1">
      <c r="A17" s="1" t="s">
        <v>49</v>
      </c>
      <c r="B17" s="37">
        <v>5</v>
      </c>
      <c r="C17" s="38">
        <v>4</v>
      </c>
      <c r="D17" s="37">
        <v>1</v>
      </c>
      <c r="E17" s="38">
        <v>3</v>
      </c>
      <c r="F17" s="37">
        <v>0</v>
      </c>
      <c r="G17" s="38">
        <v>0</v>
      </c>
      <c r="H17" s="37">
        <v>0</v>
      </c>
      <c r="I17" s="38">
        <v>0</v>
      </c>
      <c r="J17" s="37">
        <v>0</v>
      </c>
      <c r="K17" s="38">
        <v>0</v>
      </c>
      <c r="L17" s="37">
        <v>1</v>
      </c>
      <c r="M17" s="38">
        <v>1</v>
      </c>
      <c r="N17" s="42">
        <v>0</v>
      </c>
      <c r="O17" s="42">
        <v>0</v>
      </c>
      <c r="P17" s="41">
        <f t="shared" si="1"/>
        <v>7</v>
      </c>
      <c r="Q17" s="43">
        <f t="shared" si="1"/>
        <v>8</v>
      </c>
      <c r="R17" s="39">
        <f>Q17+P17</f>
        <v>15</v>
      </c>
    </row>
    <row r="18" spans="1:18" s="72" customFormat="1" ht="11.25" customHeight="1">
      <c r="A18" s="1" t="s">
        <v>50</v>
      </c>
      <c r="B18" s="37">
        <v>7</v>
      </c>
      <c r="C18" s="38">
        <v>1</v>
      </c>
      <c r="D18" s="37">
        <v>2</v>
      </c>
      <c r="E18" s="38">
        <v>2</v>
      </c>
      <c r="F18" s="37">
        <v>0</v>
      </c>
      <c r="G18" s="38">
        <v>0</v>
      </c>
      <c r="H18" s="37">
        <v>0</v>
      </c>
      <c r="I18" s="38">
        <v>0</v>
      </c>
      <c r="J18" s="37">
        <v>1</v>
      </c>
      <c r="K18" s="38">
        <v>0</v>
      </c>
      <c r="L18" s="37">
        <v>1</v>
      </c>
      <c r="M18" s="38">
        <v>0</v>
      </c>
      <c r="N18" s="42">
        <v>0</v>
      </c>
      <c r="O18" s="42">
        <v>0</v>
      </c>
      <c r="P18" s="41">
        <f t="shared" si="1"/>
        <v>11</v>
      </c>
      <c r="Q18" s="43">
        <f t="shared" si="1"/>
        <v>3</v>
      </c>
      <c r="R18" s="39">
        <f>Q18+P18</f>
        <v>14</v>
      </c>
    </row>
    <row r="19" spans="1:18" s="72" customFormat="1" ht="11.25" customHeight="1">
      <c r="A19" s="1" t="s">
        <v>52</v>
      </c>
      <c r="B19" s="37">
        <v>8</v>
      </c>
      <c r="C19" s="38">
        <v>1</v>
      </c>
      <c r="D19" s="37">
        <v>0</v>
      </c>
      <c r="E19" s="38">
        <v>1</v>
      </c>
      <c r="F19" s="37">
        <v>0</v>
      </c>
      <c r="G19" s="38">
        <v>0</v>
      </c>
      <c r="H19" s="37">
        <v>0</v>
      </c>
      <c r="I19" s="38">
        <v>0</v>
      </c>
      <c r="J19" s="37">
        <v>0</v>
      </c>
      <c r="K19" s="38">
        <v>0</v>
      </c>
      <c r="L19" s="37">
        <v>3</v>
      </c>
      <c r="M19" s="38">
        <v>0</v>
      </c>
      <c r="N19" s="42">
        <v>0</v>
      </c>
      <c r="O19" s="42">
        <v>0</v>
      </c>
      <c r="P19" s="41">
        <f t="shared" si="1"/>
        <v>11</v>
      </c>
      <c r="Q19" s="43">
        <f t="shared" si="1"/>
        <v>2</v>
      </c>
      <c r="R19" s="39">
        <f>Q19+P19</f>
        <v>13</v>
      </c>
    </row>
    <row r="20" spans="1:18" s="72" customFormat="1" ht="11.25" customHeight="1">
      <c r="A20" s="1" t="s">
        <v>57</v>
      </c>
      <c r="B20" s="37">
        <v>5</v>
      </c>
      <c r="C20" s="38">
        <v>4</v>
      </c>
      <c r="D20" s="37">
        <v>0</v>
      </c>
      <c r="E20" s="38">
        <v>0</v>
      </c>
      <c r="F20" s="37">
        <v>1</v>
      </c>
      <c r="G20" s="38">
        <v>0</v>
      </c>
      <c r="H20" s="37">
        <v>0</v>
      </c>
      <c r="I20" s="38">
        <v>0</v>
      </c>
      <c r="J20" s="37">
        <v>0</v>
      </c>
      <c r="K20" s="38">
        <v>1</v>
      </c>
      <c r="L20" s="37">
        <v>0</v>
      </c>
      <c r="M20" s="38">
        <v>0</v>
      </c>
      <c r="N20" s="42">
        <v>0</v>
      </c>
      <c r="O20" s="42">
        <v>0</v>
      </c>
      <c r="P20" s="41">
        <f t="shared" si="1"/>
        <v>6</v>
      </c>
      <c r="Q20" s="43">
        <f t="shared" si="1"/>
        <v>5</v>
      </c>
      <c r="R20" s="39">
        <f>Q20+P20</f>
        <v>11</v>
      </c>
    </row>
    <row r="21" spans="1:18" ht="11.25" customHeight="1">
      <c r="A21" s="1"/>
      <c r="B21" s="54"/>
      <c r="C21" s="64"/>
      <c r="D21" s="54"/>
      <c r="E21" s="64"/>
      <c r="F21" s="54"/>
      <c r="G21" s="64"/>
      <c r="H21" s="54"/>
      <c r="I21" s="64"/>
      <c r="J21" s="54"/>
      <c r="K21" s="64"/>
      <c r="L21" s="54"/>
      <c r="M21" s="64"/>
      <c r="N21" s="55"/>
      <c r="O21" s="55"/>
      <c r="P21" s="54"/>
      <c r="Q21" s="64"/>
      <c r="R21" s="58"/>
    </row>
    <row r="22" spans="1:18" ht="11.25" customHeight="1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1.25" customHeight="1">
      <c r="A23" s="1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26" customFormat="1" ht="11.25" customHeight="1">
      <c r="A24" s="1" t="s">
        <v>11</v>
      </c>
      <c r="B24" s="62" t="s">
        <v>1</v>
      </c>
      <c r="C24" s="63"/>
      <c r="D24" s="62" t="s">
        <v>2</v>
      </c>
      <c r="E24" s="63"/>
      <c r="F24" s="62" t="s">
        <v>3</v>
      </c>
      <c r="G24" s="63"/>
      <c r="H24" s="62" t="s">
        <v>4</v>
      </c>
      <c r="I24" s="63"/>
      <c r="J24" s="62" t="s">
        <v>5</v>
      </c>
      <c r="K24" s="63"/>
      <c r="L24" s="62" t="s">
        <v>6</v>
      </c>
      <c r="M24" s="63"/>
      <c r="N24" s="93" t="s">
        <v>38</v>
      </c>
      <c r="O24" s="94"/>
      <c r="P24" s="62" t="s">
        <v>7</v>
      </c>
      <c r="Q24" s="63"/>
      <c r="R24" s="51" t="s">
        <v>8</v>
      </c>
    </row>
    <row r="25" spans="1:18" s="26" customFormat="1" ht="11.25" customHeight="1">
      <c r="A25" s="1" t="s">
        <v>12</v>
      </c>
      <c r="B25" s="31" t="s">
        <v>9</v>
      </c>
      <c r="C25" s="34" t="s">
        <v>10</v>
      </c>
      <c r="D25" s="31" t="s">
        <v>9</v>
      </c>
      <c r="E25" s="34" t="s">
        <v>10</v>
      </c>
      <c r="F25" s="31" t="s">
        <v>9</v>
      </c>
      <c r="G25" s="34" t="s">
        <v>10</v>
      </c>
      <c r="H25" s="31" t="s">
        <v>9</v>
      </c>
      <c r="I25" s="34" t="s">
        <v>10</v>
      </c>
      <c r="J25" s="31" t="s">
        <v>9</v>
      </c>
      <c r="K25" s="34" t="s">
        <v>10</v>
      </c>
      <c r="L25" s="31" t="s">
        <v>9</v>
      </c>
      <c r="M25" s="34" t="s">
        <v>10</v>
      </c>
      <c r="N25" s="31" t="s">
        <v>9</v>
      </c>
      <c r="O25" s="34" t="s">
        <v>10</v>
      </c>
      <c r="P25" s="31" t="s">
        <v>9</v>
      </c>
      <c r="Q25" s="34" t="s">
        <v>10</v>
      </c>
      <c r="R25" s="32" t="s">
        <v>7</v>
      </c>
    </row>
    <row r="26" spans="1:18" ht="11.25" customHeight="1">
      <c r="A26" s="1"/>
      <c r="B26" s="7"/>
      <c r="C26" s="8"/>
      <c r="D26" s="7"/>
      <c r="E26" s="8"/>
      <c r="F26" s="7"/>
      <c r="G26" s="8"/>
      <c r="H26" s="7"/>
      <c r="I26" s="8"/>
      <c r="J26" s="7"/>
      <c r="K26" s="8"/>
      <c r="L26" s="7"/>
      <c r="M26" s="8"/>
      <c r="N26" s="45"/>
      <c r="O26" s="45"/>
      <c r="P26" s="7"/>
      <c r="Q26" s="8"/>
      <c r="R26" s="9"/>
    </row>
    <row r="27" spans="1:18" ht="11.25" customHeight="1">
      <c r="A27" s="1" t="s">
        <v>42</v>
      </c>
      <c r="B27" s="41">
        <v>117</v>
      </c>
      <c r="C27" s="42">
        <v>33</v>
      </c>
      <c r="D27" s="41">
        <v>18</v>
      </c>
      <c r="E27" s="42">
        <v>28</v>
      </c>
      <c r="F27" s="41">
        <v>4</v>
      </c>
      <c r="G27" s="42">
        <v>0</v>
      </c>
      <c r="H27" s="41">
        <v>2</v>
      </c>
      <c r="I27" s="42">
        <v>5</v>
      </c>
      <c r="J27" s="41">
        <v>2</v>
      </c>
      <c r="K27" s="42">
        <v>1</v>
      </c>
      <c r="L27" s="41">
        <v>10</v>
      </c>
      <c r="M27" s="43">
        <v>0</v>
      </c>
      <c r="N27" s="42">
        <v>1</v>
      </c>
      <c r="O27" s="42">
        <v>0</v>
      </c>
      <c r="P27" s="41">
        <f aca="true" t="shared" si="2" ref="P27:Q31">N27+L27+J27+H27+F27+D27+B27</f>
        <v>154</v>
      </c>
      <c r="Q27" s="43">
        <f t="shared" si="2"/>
        <v>67</v>
      </c>
      <c r="R27" s="44">
        <f>Q27+P27</f>
        <v>221</v>
      </c>
    </row>
    <row r="28" spans="1:18" ht="11.25" customHeight="1">
      <c r="A28" s="1" t="s">
        <v>49</v>
      </c>
      <c r="B28" s="41">
        <v>107</v>
      </c>
      <c r="C28" s="42">
        <v>25</v>
      </c>
      <c r="D28" s="41">
        <v>20</v>
      </c>
      <c r="E28" s="42">
        <v>16</v>
      </c>
      <c r="F28" s="41">
        <v>1</v>
      </c>
      <c r="G28" s="42">
        <v>0</v>
      </c>
      <c r="H28" s="41">
        <v>3</v>
      </c>
      <c r="I28" s="42">
        <v>3</v>
      </c>
      <c r="J28" s="41">
        <v>3</v>
      </c>
      <c r="K28" s="42">
        <v>1</v>
      </c>
      <c r="L28" s="41">
        <v>4</v>
      </c>
      <c r="M28" s="43">
        <v>0</v>
      </c>
      <c r="N28" s="42">
        <v>2</v>
      </c>
      <c r="O28" s="42">
        <v>0</v>
      </c>
      <c r="P28" s="41">
        <f t="shared" si="2"/>
        <v>140</v>
      </c>
      <c r="Q28" s="43">
        <f t="shared" si="2"/>
        <v>45</v>
      </c>
      <c r="R28" s="44">
        <f>Q28+P28</f>
        <v>185</v>
      </c>
    </row>
    <row r="29" spans="1:18" ht="11.25" customHeight="1">
      <c r="A29" s="1" t="s">
        <v>50</v>
      </c>
      <c r="B29" s="41">
        <v>101</v>
      </c>
      <c r="C29" s="42">
        <v>28</v>
      </c>
      <c r="D29" s="41">
        <v>24</v>
      </c>
      <c r="E29" s="42">
        <v>20</v>
      </c>
      <c r="F29" s="41">
        <v>0</v>
      </c>
      <c r="G29" s="42">
        <v>0</v>
      </c>
      <c r="H29" s="41">
        <v>3</v>
      </c>
      <c r="I29" s="42">
        <v>2</v>
      </c>
      <c r="J29" s="41">
        <v>2</v>
      </c>
      <c r="K29" s="42">
        <v>1</v>
      </c>
      <c r="L29" s="41">
        <v>3</v>
      </c>
      <c r="M29" s="43">
        <v>0</v>
      </c>
      <c r="N29" s="42">
        <v>2</v>
      </c>
      <c r="O29" s="42">
        <v>0</v>
      </c>
      <c r="P29" s="41">
        <f t="shared" si="2"/>
        <v>135</v>
      </c>
      <c r="Q29" s="43">
        <f t="shared" si="2"/>
        <v>51</v>
      </c>
      <c r="R29" s="44">
        <f>Q29+P29</f>
        <v>186</v>
      </c>
    </row>
    <row r="30" spans="1:18" ht="11.25" customHeight="1">
      <c r="A30" s="1" t="s">
        <v>52</v>
      </c>
      <c r="B30" s="41">
        <v>97</v>
      </c>
      <c r="C30" s="42">
        <v>36</v>
      </c>
      <c r="D30" s="41">
        <v>18</v>
      </c>
      <c r="E30" s="42">
        <v>15</v>
      </c>
      <c r="F30" s="41">
        <v>2</v>
      </c>
      <c r="G30" s="42">
        <v>0</v>
      </c>
      <c r="H30" s="41">
        <v>4</v>
      </c>
      <c r="I30" s="42">
        <v>2</v>
      </c>
      <c r="J30" s="41">
        <v>1</v>
      </c>
      <c r="K30" s="42">
        <v>2</v>
      </c>
      <c r="L30" s="41">
        <v>3</v>
      </c>
      <c r="M30" s="43">
        <v>1</v>
      </c>
      <c r="N30" s="42">
        <v>1</v>
      </c>
      <c r="O30" s="42">
        <v>0</v>
      </c>
      <c r="P30" s="41">
        <f t="shared" si="2"/>
        <v>126</v>
      </c>
      <c r="Q30" s="42">
        <f t="shared" si="2"/>
        <v>56</v>
      </c>
      <c r="R30" s="44">
        <f>Q30+P30</f>
        <v>182</v>
      </c>
    </row>
    <row r="31" spans="1:18" ht="11.25" customHeight="1">
      <c r="A31" s="1" t="s">
        <v>57</v>
      </c>
      <c r="B31" s="41">
        <v>100</v>
      </c>
      <c r="C31" s="42">
        <v>36</v>
      </c>
      <c r="D31" s="41">
        <v>21</v>
      </c>
      <c r="E31" s="42">
        <v>17</v>
      </c>
      <c r="F31" s="41">
        <v>3</v>
      </c>
      <c r="G31" s="42">
        <v>0</v>
      </c>
      <c r="H31" s="41">
        <v>4</v>
      </c>
      <c r="I31" s="42">
        <v>0</v>
      </c>
      <c r="J31" s="41">
        <v>2</v>
      </c>
      <c r="K31" s="42">
        <v>2</v>
      </c>
      <c r="L31" s="41">
        <v>2</v>
      </c>
      <c r="M31" s="43">
        <v>0</v>
      </c>
      <c r="N31" s="42">
        <v>3</v>
      </c>
      <c r="O31" s="42">
        <v>0</v>
      </c>
      <c r="P31" s="41">
        <f t="shared" si="2"/>
        <v>135</v>
      </c>
      <c r="Q31" s="42">
        <f t="shared" si="2"/>
        <v>55</v>
      </c>
      <c r="R31" s="44">
        <f>Q31+P31</f>
        <v>190</v>
      </c>
    </row>
    <row r="32" spans="2:19" ht="11.25" customHeight="1"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13"/>
      <c r="N32" s="21"/>
      <c r="O32" s="21"/>
      <c r="P32" s="12"/>
      <c r="Q32" s="21"/>
      <c r="R32" s="14"/>
      <c r="S32"/>
    </row>
    <row r="33" spans="2:19" ht="11.2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/>
    </row>
    <row r="34" ht="11.25" customHeight="1">
      <c r="A34" s="1" t="s">
        <v>17</v>
      </c>
    </row>
    <row r="35" spans="1:18" ht="11.25" customHeight="1">
      <c r="A35" s="1" t="s">
        <v>11</v>
      </c>
      <c r="B35" s="35" t="s">
        <v>1</v>
      </c>
      <c r="C35" s="36"/>
      <c r="D35" s="35" t="s">
        <v>2</v>
      </c>
      <c r="E35" s="36"/>
      <c r="F35" s="35" t="s">
        <v>3</v>
      </c>
      <c r="G35" s="36"/>
      <c r="H35" s="35" t="s">
        <v>4</v>
      </c>
      <c r="I35" s="36"/>
      <c r="J35" s="35" t="s">
        <v>5</v>
      </c>
      <c r="K35" s="36"/>
      <c r="L35" s="35" t="s">
        <v>6</v>
      </c>
      <c r="M35" s="36"/>
      <c r="N35" s="93" t="s">
        <v>38</v>
      </c>
      <c r="O35" s="94"/>
      <c r="P35" s="35" t="s">
        <v>7</v>
      </c>
      <c r="Q35" s="36"/>
      <c r="R35" s="30" t="s">
        <v>8</v>
      </c>
    </row>
    <row r="36" spans="1:18" ht="11.25" customHeight="1">
      <c r="A36" s="1" t="s">
        <v>12</v>
      </c>
      <c r="B36" s="31" t="s">
        <v>9</v>
      </c>
      <c r="C36" s="34" t="s">
        <v>10</v>
      </c>
      <c r="D36" s="31" t="s">
        <v>9</v>
      </c>
      <c r="E36" s="34" t="s">
        <v>10</v>
      </c>
      <c r="F36" s="31" t="s">
        <v>9</v>
      </c>
      <c r="G36" s="34" t="s">
        <v>10</v>
      </c>
      <c r="H36" s="31" t="s">
        <v>9</v>
      </c>
      <c r="I36" s="34" t="s">
        <v>10</v>
      </c>
      <c r="J36" s="31" t="s">
        <v>9</v>
      </c>
      <c r="K36" s="34" t="s">
        <v>10</v>
      </c>
      <c r="L36" s="31" t="s">
        <v>9</v>
      </c>
      <c r="M36" s="34" t="s">
        <v>10</v>
      </c>
      <c r="N36" s="31" t="s">
        <v>9</v>
      </c>
      <c r="O36" s="34" t="s">
        <v>10</v>
      </c>
      <c r="P36" s="31" t="s">
        <v>9</v>
      </c>
      <c r="Q36" s="34" t="s">
        <v>10</v>
      </c>
      <c r="R36" s="32" t="s">
        <v>7</v>
      </c>
    </row>
    <row r="37" spans="2:18" ht="11.25" customHeight="1">
      <c r="B37" s="49"/>
      <c r="C37" s="50"/>
      <c r="D37" s="49"/>
      <c r="E37" s="50"/>
      <c r="F37" s="49"/>
      <c r="G37" s="50"/>
      <c r="H37" s="49"/>
      <c r="I37" s="50"/>
      <c r="J37" s="49"/>
      <c r="K37" s="50"/>
      <c r="L37" s="49"/>
      <c r="M37" s="50"/>
      <c r="N37" s="15"/>
      <c r="O37" s="15"/>
      <c r="P37" s="49"/>
      <c r="Q37" s="50"/>
      <c r="R37" s="51"/>
    </row>
    <row r="38" spans="1:18" ht="11.25" customHeight="1">
      <c r="A38" s="1" t="s">
        <v>42</v>
      </c>
      <c r="B38" s="41">
        <v>15</v>
      </c>
      <c r="C38" s="42">
        <v>13</v>
      </c>
      <c r="D38" s="41">
        <v>3</v>
      </c>
      <c r="E38" s="43">
        <v>5</v>
      </c>
      <c r="F38" s="41">
        <v>0</v>
      </c>
      <c r="G38" s="42">
        <v>0</v>
      </c>
      <c r="H38" s="41">
        <v>0</v>
      </c>
      <c r="I38" s="43">
        <v>0</v>
      </c>
      <c r="J38" s="41">
        <v>1</v>
      </c>
      <c r="K38" s="42">
        <v>0</v>
      </c>
      <c r="L38" s="41">
        <v>1</v>
      </c>
      <c r="M38" s="43">
        <v>2</v>
      </c>
      <c r="N38" s="42">
        <v>0</v>
      </c>
      <c r="O38" s="42">
        <v>0</v>
      </c>
      <c r="P38" s="41">
        <f aca="true" t="shared" si="3" ref="P38:Q42">N38+L38+J38+H38+F38+D38+B38</f>
        <v>20</v>
      </c>
      <c r="Q38" s="43">
        <f t="shared" si="3"/>
        <v>20</v>
      </c>
      <c r="R38" s="44">
        <f>Q38+P38</f>
        <v>40</v>
      </c>
    </row>
    <row r="39" spans="1:18" ht="11.25" customHeight="1">
      <c r="A39" s="1" t="s">
        <v>49</v>
      </c>
      <c r="B39" s="41">
        <v>18</v>
      </c>
      <c r="C39" s="42">
        <v>6</v>
      </c>
      <c r="D39" s="41">
        <v>3</v>
      </c>
      <c r="E39" s="43">
        <v>5</v>
      </c>
      <c r="F39" s="41">
        <v>0</v>
      </c>
      <c r="G39" s="42">
        <v>0</v>
      </c>
      <c r="H39" s="41">
        <v>0</v>
      </c>
      <c r="I39" s="43">
        <v>0</v>
      </c>
      <c r="J39" s="41">
        <v>1</v>
      </c>
      <c r="K39" s="42">
        <v>0</v>
      </c>
      <c r="L39" s="41">
        <v>1</v>
      </c>
      <c r="M39" s="43">
        <v>1</v>
      </c>
      <c r="N39" s="42">
        <v>0</v>
      </c>
      <c r="O39" s="42">
        <v>0</v>
      </c>
      <c r="P39" s="41">
        <f t="shared" si="3"/>
        <v>23</v>
      </c>
      <c r="Q39" s="43">
        <f t="shared" si="3"/>
        <v>12</v>
      </c>
      <c r="R39" s="44">
        <f>Q39+P39</f>
        <v>35</v>
      </c>
    </row>
    <row r="40" spans="1:18" ht="11.25" customHeight="1">
      <c r="A40" s="1" t="s">
        <v>50</v>
      </c>
      <c r="B40" s="41">
        <v>19</v>
      </c>
      <c r="C40" s="42">
        <v>9</v>
      </c>
      <c r="D40" s="41">
        <v>3</v>
      </c>
      <c r="E40" s="42">
        <v>2</v>
      </c>
      <c r="F40" s="41">
        <v>0</v>
      </c>
      <c r="G40" s="42">
        <v>0</v>
      </c>
      <c r="H40" s="41">
        <v>0</v>
      </c>
      <c r="I40" s="42">
        <v>0</v>
      </c>
      <c r="J40" s="41">
        <v>1</v>
      </c>
      <c r="K40" s="42">
        <v>0</v>
      </c>
      <c r="L40" s="41">
        <v>5</v>
      </c>
      <c r="M40" s="43">
        <v>0</v>
      </c>
      <c r="N40" s="42">
        <v>0</v>
      </c>
      <c r="O40" s="42">
        <v>0</v>
      </c>
      <c r="P40" s="41">
        <f t="shared" si="3"/>
        <v>28</v>
      </c>
      <c r="Q40" s="43">
        <f t="shared" si="3"/>
        <v>11</v>
      </c>
      <c r="R40" s="44">
        <f>Q40+P40</f>
        <v>39</v>
      </c>
    </row>
    <row r="41" spans="1:18" ht="11.25" customHeight="1">
      <c r="A41" s="1" t="s">
        <v>52</v>
      </c>
      <c r="B41" s="41">
        <v>20</v>
      </c>
      <c r="C41" s="42">
        <v>9</v>
      </c>
      <c r="D41" s="41">
        <v>1</v>
      </c>
      <c r="E41" s="42">
        <v>2</v>
      </c>
      <c r="F41" s="41">
        <v>0</v>
      </c>
      <c r="G41" s="42">
        <v>0</v>
      </c>
      <c r="H41" s="41">
        <v>1</v>
      </c>
      <c r="I41" s="42">
        <v>0</v>
      </c>
      <c r="J41" s="41">
        <v>0</v>
      </c>
      <c r="K41" s="42">
        <v>0</v>
      </c>
      <c r="L41" s="41">
        <v>1</v>
      </c>
      <c r="M41" s="43">
        <v>0</v>
      </c>
      <c r="N41" s="42">
        <v>0</v>
      </c>
      <c r="O41" s="42">
        <v>0</v>
      </c>
      <c r="P41" s="41">
        <f t="shared" si="3"/>
        <v>23</v>
      </c>
      <c r="Q41" s="42">
        <f t="shared" si="3"/>
        <v>11</v>
      </c>
      <c r="R41" s="44">
        <f>Q41+P41</f>
        <v>34</v>
      </c>
    </row>
    <row r="42" spans="1:18" ht="11.25" customHeight="1">
      <c r="A42" s="1" t="s">
        <v>57</v>
      </c>
      <c r="B42" s="41">
        <v>20</v>
      </c>
      <c r="C42" s="42">
        <v>9</v>
      </c>
      <c r="D42" s="41">
        <v>2</v>
      </c>
      <c r="E42" s="42">
        <v>1</v>
      </c>
      <c r="F42" s="41">
        <v>0</v>
      </c>
      <c r="G42" s="42">
        <v>0</v>
      </c>
      <c r="H42" s="41">
        <v>1</v>
      </c>
      <c r="I42" s="42">
        <v>0</v>
      </c>
      <c r="J42" s="41">
        <v>0</v>
      </c>
      <c r="K42" s="42">
        <v>1</v>
      </c>
      <c r="L42" s="41">
        <v>0</v>
      </c>
      <c r="M42" s="43">
        <v>1</v>
      </c>
      <c r="N42" s="42">
        <v>0</v>
      </c>
      <c r="O42" s="42">
        <v>0</v>
      </c>
      <c r="P42" s="41">
        <f t="shared" si="3"/>
        <v>23</v>
      </c>
      <c r="Q42" s="42">
        <f t="shared" si="3"/>
        <v>12</v>
      </c>
      <c r="R42" s="44">
        <f>Q42+P42</f>
        <v>35</v>
      </c>
    </row>
    <row r="43" spans="1:18" s="11" customFormat="1" ht="11.25" customHeight="1">
      <c r="A43" s="26"/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13"/>
      <c r="N43" s="21"/>
      <c r="O43" s="21"/>
      <c r="P43" s="12"/>
      <c r="Q43" s="21"/>
      <c r="R43" s="14"/>
    </row>
    <row r="47" ht="10.5"/>
    <row r="48" ht="10.5">
      <c r="A48" s="73"/>
    </row>
    <row r="49" ht="10.5" customHeight="1">
      <c r="A49" s="73"/>
    </row>
    <row r="50" ht="10.5"/>
    <row r="65" spans="1:18" s="11" customFormat="1" ht="10.5" customHeight="1">
      <c r="A65" s="2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8" ht="10.5"/>
    <row r="69" ht="10.5"/>
    <row r="70" ht="10.5"/>
    <row r="72" ht="10.5"/>
    <row r="79" ht="10.5"/>
    <row r="87" spans="1:18" s="11" customFormat="1" ht="10.5" customHeight="1">
      <c r="A87" s="2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90" ht="10.5"/>
    <row r="98" spans="1:18" s="11" customFormat="1" ht="10.5" customHeight="1">
      <c r="A98" s="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101" ht="10.5"/>
    <row r="102" ht="10.5"/>
    <row r="103" ht="10.5"/>
    <row r="105" ht="10.5"/>
    <row r="113" ht="10.5"/>
    <row r="115" ht="10.5"/>
    <row r="122" ht="10.5"/>
  </sheetData>
  <mergeCells count="4">
    <mergeCell ref="N3:O3"/>
    <mergeCell ref="N13:O13"/>
    <mergeCell ref="N24:O24"/>
    <mergeCell ref="N35:O35"/>
  </mergeCells>
  <printOptions horizontalCentered="1"/>
  <pageMargins left="0.25" right="0.25" top="1" bottom="0.75" header="0.5" footer="0.25"/>
  <pageSetup fitToHeight="1" fitToWidth="1" horizontalDpi="300" verticalDpi="300" orientation="landscape" scale="96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45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8" t="s">
        <v>56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42</v>
      </c>
      <c r="B6" s="60">
        <v>109</v>
      </c>
      <c r="C6" s="60">
        <f>MIS!R27</f>
        <v>221</v>
      </c>
      <c r="D6" s="60">
        <v>204</v>
      </c>
    </row>
    <row r="7" spans="1:4" ht="12.75" customHeight="1">
      <c r="A7" s="1" t="s">
        <v>49</v>
      </c>
      <c r="B7" s="60">
        <v>101</v>
      </c>
      <c r="C7" s="60">
        <f>MIS!R28</f>
        <v>185</v>
      </c>
      <c r="D7" s="60">
        <v>173</v>
      </c>
    </row>
    <row r="8" spans="1:4" ht="12.75" customHeight="1">
      <c r="A8" s="1" t="s">
        <v>50</v>
      </c>
      <c r="B8" s="60">
        <v>94</v>
      </c>
      <c r="C8" s="60">
        <f>MIS!R29</f>
        <v>186</v>
      </c>
      <c r="D8" s="60">
        <v>172</v>
      </c>
    </row>
    <row r="9" spans="1:4" ht="12.75" customHeight="1">
      <c r="A9" s="1" t="s">
        <v>52</v>
      </c>
      <c r="B9" s="60">
        <v>82</v>
      </c>
      <c r="C9" s="60">
        <f>MIS!R30</f>
        <v>182</v>
      </c>
      <c r="D9" s="60">
        <v>186</v>
      </c>
    </row>
    <row r="10" spans="1:4" ht="12.75" customHeight="1">
      <c r="A10" s="1" t="s">
        <v>57</v>
      </c>
      <c r="B10" s="60">
        <v>86</v>
      </c>
      <c r="C10" s="60">
        <f>MIS!R31</f>
        <v>190</v>
      </c>
      <c r="D10" s="60">
        <v>193</v>
      </c>
    </row>
    <row r="11" spans="1:4" ht="12.75" customHeight="1">
      <c r="A11" s="2"/>
      <c r="B11" s="87"/>
      <c r="C11" s="87"/>
      <c r="D11" s="87"/>
    </row>
    <row r="12" spans="1:4" ht="12.75" customHeight="1">
      <c r="A12" s="1"/>
      <c r="B12" s="45"/>
      <c r="C12" s="45"/>
      <c r="D12" s="45"/>
    </row>
    <row r="13" spans="1:4" ht="12.75" customHeight="1">
      <c r="A13" s="1" t="s">
        <v>17</v>
      </c>
      <c r="B13" s="85"/>
      <c r="C13" s="85"/>
      <c r="D13" s="85"/>
    </row>
    <row r="14" spans="1:4" ht="12.75" customHeight="1">
      <c r="A14" s="1" t="s">
        <v>11</v>
      </c>
      <c r="B14" s="33" t="s">
        <v>16</v>
      </c>
      <c r="C14" s="33" t="s">
        <v>14</v>
      </c>
      <c r="D14" s="33" t="s">
        <v>15</v>
      </c>
    </row>
    <row r="15" spans="2:4" ht="12.75" customHeight="1">
      <c r="B15" s="5"/>
      <c r="C15" s="5"/>
      <c r="D15" s="5"/>
    </row>
    <row r="16" spans="1:4" ht="12.75" customHeight="1">
      <c r="A16" s="1" t="s">
        <v>42</v>
      </c>
      <c r="B16" s="60">
        <v>24</v>
      </c>
      <c r="C16" s="60">
        <f>+MIS!R38</f>
        <v>40</v>
      </c>
      <c r="D16" s="60">
        <v>43</v>
      </c>
    </row>
    <row r="17" spans="1:4" ht="12.75" customHeight="1">
      <c r="A17" s="1" t="s">
        <v>49</v>
      </c>
      <c r="B17" s="60">
        <v>22</v>
      </c>
      <c r="C17" s="60">
        <f>+MIS!R39</f>
        <v>35</v>
      </c>
      <c r="D17" s="60">
        <v>33</v>
      </c>
    </row>
    <row r="18" spans="1:4" ht="12.75" customHeight="1">
      <c r="A18" s="1" t="s">
        <v>50</v>
      </c>
      <c r="B18" s="60">
        <v>28</v>
      </c>
      <c r="C18" s="60">
        <f>+MIS!R40</f>
        <v>39</v>
      </c>
      <c r="D18" s="60">
        <v>31</v>
      </c>
    </row>
    <row r="19" spans="1:4" ht="12.75" customHeight="1">
      <c r="A19" s="1" t="s">
        <v>52</v>
      </c>
      <c r="B19" s="60">
        <v>17</v>
      </c>
      <c r="C19" s="60">
        <f>+MIS!R41</f>
        <v>34</v>
      </c>
      <c r="D19" s="60">
        <v>34</v>
      </c>
    </row>
    <row r="20" spans="1:4" ht="12.75" customHeight="1">
      <c r="A20" s="1" t="s">
        <v>57</v>
      </c>
      <c r="B20" s="60">
        <v>17</v>
      </c>
      <c r="C20" s="60">
        <f>+MIS!R42</f>
        <v>35</v>
      </c>
      <c r="D20" s="60">
        <v>35</v>
      </c>
    </row>
    <row r="21" spans="1:4" ht="12.75" customHeight="1">
      <c r="A21" s="1"/>
      <c r="B21" s="86"/>
      <c r="C21" s="6"/>
      <c r="D21" s="6"/>
    </row>
    <row r="22" spans="1:4" ht="12.75" customHeight="1">
      <c r="A22" s="1"/>
      <c r="B22" s="59"/>
      <c r="C22" s="59"/>
      <c r="D22" s="59"/>
    </row>
    <row r="23" spans="1:8" s="26" customFormat="1" ht="13.5" customHeight="1">
      <c r="A23" s="1" t="s">
        <v>46</v>
      </c>
      <c r="B23" s="49" t="s">
        <v>13</v>
      </c>
      <c r="C23" s="49" t="s">
        <v>13</v>
      </c>
      <c r="D23" s="49" t="s">
        <v>7</v>
      </c>
      <c r="E23" s="29" t="s">
        <v>17</v>
      </c>
      <c r="F23" s="29" t="s">
        <v>17</v>
      </c>
      <c r="G23" s="30" t="s">
        <v>7</v>
      </c>
      <c r="H23" s="30" t="s">
        <v>8</v>
      </c>
    </row>
    <row r="24" spans="1:8" s="26" customFormat="1" ht="12.75" customHeight="1">
      <c r="A24" s="1"/>
      <c r="B24" s="31" t="s">
        <v>18</v>
      </c>
      <c r="C24" s="31" t="s">
        <v>19</v>
      </c>
      <c r="D24" s="31" t="s">
        <v>13</v>
      </c>
      <c r="E24" s="31" t="s">
        <v>20</v>
      </c>
      <c r="F24" s="31" t="s">
        <v>21</v>
      </c>
      <c r="G24" s="32" t="s">
        <v>17</v>
      </c>
      <c r="H24" s="32" t="s">
        <v>7</v>
      </c>
    </row>
    <row r="25" spans="2:8" ht="12.75" customHeight="1">
      <c r="B25" s="3"/>
      <c r="C25" s="3"/>
      <c r="D25" s="3"/>
      <c r="E25" s="3"/>
      <c r="F25" s="3"/>
      <c r="G25" s="3"/>
      <c r="H25" s="10"/>
    </row>
    <row r="26" spans="1:8" ht="12.75" customHeight="1">
      <c r="A26" s="1" t="s">
        <v>42</v>
      </c>
      <c r="B26" s="46">
        <f>123+612+387</f>
        <v>1122</v>
      </c>
      <c r="C26" s="46">
        <f>372+885+885</f>
        <v>2142</v>
      </c>
      <c r="D26" s="46">
        <f>C26+B26</f>
        <v>3264</v>
      </c>
      <c r="E26" s="46">
        <f>135+251+213</f>
        <v>599</v>
      </c>
      <c r="F26" s="46">
        <v>0</v>
      </c>
      <c r="G26" s="46">
        <f>F26+E26</f>
        <v>599</v>
      </c>
      <c r="H26" s="48">
        <f>G26+D26</f>
        <v>3863</v>
      </c>
    </row>
    <row r="27" spans="1:8" ht="12.75" customHeight="1">
      <c r="A27" s="1" t="s">
        <v>49</v>
      </c>
      <c r="B27" s="46">
        <f>72+603+399</f>
        <v>1074</v>
      </c>
      <c r="C27" s="46">
        <f>416+714+745</f>
        <v>1875</v>
      </c>
      <c r="D27" s="46">
        <f>C27+B27</f>
        <v>2949</v>
      </c>
      <c r="E27" s="46">
        <f>118+258+285</f>
        <v>661</v>
      </c>
      <c r="F27" s="46">
        <v>0</v>
      </c>
      <c r="G27" s="46">
        <f>F27+E27</f>
        <v>661</v>
      </c>
      <c r="H27" s="48">
        <f>G27+D27</f>
        <v>3610</v>
      </c>
    </row>
    <row r="28" spans="1:8" ht="12.75" customHeight="1">
      <c r="A28" s="1" t="s">
        <v>50</v>
      </c>
      <c r="B28" s="46">
        <v>1104</v>
      </c>
      <c r="C28" s="46">
        <v>1584</v>
      </c>
      <c r="D28" s="46">
        <f>C28+B28</f>
        <v>2688</v>
      </c>
      <c r="E28" s="46">
        <v>716</v>
      </c>
      <c r="F28" s="46">
        <v>0</v>
      </c>
      <c r="G28" s="46">
        <f>F28+E28</f>
        <v>716</v>
      </c>
      <c r="H28" s="48">
        <f>G28+D28</f>
        <v>3404</v>
      </c>
    </row>
    <row r="29" spans="1:8" ht="12.75" customHeight="1">
      <c r="A29" s="1" t="s">
        <v>52</v>
      </c>
      <c r="B29" s="46">
        <v>1161</v>
      </c>
      <c r="C29" s="46">
        <v>1728</v>
      </c>
      <c r="D29" s="46">
        <f>C29+B29</f>
        <v>2889</v>
      </c>
      <c r="E29" s="46">
        <v>521</v>
      </c>
      <c r="F29" s="46">
        <v>0</v>
      </c>
      <c r="G29" s="46">
        <f>F29+E29</f>
        <v>521</v>
      </c>
      <c r="H29" s="48">
        <f>G29+D29</f>
        <v>3410</v>
      </c>
    </row>
    <row r="30" spans="1:8" ht="12.75" customHeight="1">
      <c r="A30" s="1" t="s">
        <v>57</v>
      </c>
      <c r="B30" s="46">
        <v>1080</v>
      </c>
      <c r="C30" s="46">
        <v>1792</v>
      </c>
      <c r="D30" s="46">
        <f>C30+B30</f>
        <v>2872</v>
      </c>
      <c r="E30" s="46">
        <v>490</v>
      </c>
      <c r="F30" s="46">
        <v>0</v>
      </c>
      <c r="G30" s="46">
        <f>F30+E30</f>
        <v>490</v>
      </c>
      <c r="H30" s="48">
        <f>G30+D30</f>
        <v>3362</v>
      </c>
    </row>
    <row r="31" spans="1:8" ht="12.75" customHeight="1">
      <c r="A31" s="16"/>
      <c r="B31" s="12"/>
      <c r="C31" s="12"/>
      <c r="D31" s="12"/>
      <c r="E31" s="12"/>
      <c r="F31" s="12"/>
      <c r="G31" s="12"/>
      <c r="H31" s="14"/>
    </row>
    <row r="32" ht="12.75" customHeight="1"/>
    <row r="33" spans="1:8" ht="12.75" customHeight="1">
      <c r="A33" s="16"/>
      <c r="B33"/>
      <c r="C33"/>
      <c r="D33"/>
      <c r="E33"/>
      <c r="F33"/>
      <c r="G33"/>
      <c r="H33"/>
    </row>
    <row r="34" spans="1:8" s="26" customFormat="1" ht="12.75" customHeight="1">
      <c r="A34" s="1" t="s">
        <v>47</v>
      </c>
      <c r="B34" s="29" t="s">
        <v>13</v>
      </c>
      <c r="C34" s="29" t="s">
        <v>13</v>
      </c>
      <c r="D34" s="29" t="s">
        <v>7</v>
      </c>
      <c r="E34" s="29" t="s">
        <v>17</v>
      </c>
      <c r="F34" s="29" t="s">
        <v>22</v>
      </c>
      <c r="G34" s="29" t="s">
        <v>23</v>
      </c>
      <c r="H34" s="30" t="s">
        <v>8</v>
      </c>
    </row>
    <row r="35" spans="2:8" s="26" customFormat="1" ht="12.75" customHeight="1">
      <c r="B35" s="31" t="s">
        <v>18</v>
      </c>
      <c r="C35" s="31" t="s">
        <v>19</v>
      </c>
      <c r="D35" s="31" t="s">
        <v>13</v>
      </c>
      <c r="E35" s="31" t="s">
        <v>20</v>
      </c>
      <c r="F35" s="31" t="s">
        <v>21</v>
      </c>
      <c r="G35" s="31" t="s">
        <v>17</v>
      </c>
      <c r="H35" s="32" t="s">
        <v>7</v>
      </c>
    </row>
    <row r="36" spans="2:8" ht="12.75" customHeight="1">
      <c r="B36" s="7"/>
      <c r="C36" s="7"/>
      <c r="D36" s="7"/>
      <c r="E36" s="7"/>
      <c r="F36" s="7"/>
      <c r="G36" s="7"/>
      <c r="H36" s="9"/>
    </row>
    <row r="37" spans="1:8" ht="12.75" customHeight="1">
      <c r="A37" s="1" t="s">
        <v>42</v>
      </c>
      <c r="B37" s="23">
        <f>SUM(B26*0.95)</f>
        <v>1065.8999999999999</v>
      </c>
      <c r="C37" s="23">
        <f>SUM(C26*1.29)</f>
        <v>2763.1800000000003</v>
      </c>
      <c r="D37" s="23">
        <f>C37+B37</f>
        <v>3829.08</v>
      </c>
      <c r="E37" s="23">
        <f>SUM(E26*3.27)</f>
        <v>1958.73</v>
      </c>
      <c r="F37" s="23">
        <f>SUM(F26*0)</f>
        <v>0</v>
      </c>
      <c r="G37" s="23">
        <f>F37+E37</f>
        <v>1958.73</v>
      </c>
      <c r="H37" s="24">
        <f>G37+D37</f>
        <v>5787.8099999999995</v>
      </c>
    </row>
    <row r="38" spans="1:8" ht="12.75" customHeight="1">
      <c r="A38" s="1" t="s">
        <v>49</v>
      </c>
      <c r="B38" s="23">
        <f>SUM(B27*0.95)</f>
        <v>1020.3</v>
      </c>
      <c r="C38" s="23">
        <f>SUM(C27*1.29)</f>
        <v>2418.75</v>
      </c>
      <c r="D38" s="23">
        <f>C38+B38</f>
        <v>3439.05</v>
      </c>
      <c r="E38" s="23">
        <f>SUM(E27*3.27)</f>
        <v>2161.47</v>
      </c>
      <c r="F38" s="23">
        <f>SUM(F27*0)</f>
        <v>0</v>
      </c>
      <c r="G38" s="23">
        <f>F38+E38</f>
        <v>2161.47</v>
      </c>
      <c r="H38" s="24">
        <f>G38+D38</f>
        <v>5600.52</v>
      </c>
    </row>
    <row r="39" spans="1:8" ht="12.75" customHeight="1">
      <c r="A39" s="1" t="s">
        <v>50</v>
      </c>
      <c r="B39" s="23">
        <f>SUM(B28*0.95)</f>
        <v>1048.8</v>
      </c>
      <c r="C39" s="23">
        <f>SUM(C28*1.29)</f>
        <v>2043.3600000000001</v>
      </c>
      <c r="D39" s="23">
        <f>C39+B39</f>
        <v>3092.16</v>
      </c>
      <c r="E39" s="23">
        <f>SUM(E28*3.27)</f>
        <v>2341.32</v>
      </c>
      <c r="F39" s="23">
        <f>SUM(F28*0)</f>
        <v>0</v>
      </c>
      <c r="G39" s="23">
        <f>F39+E39</f>
        <v>2341.32</v>
      </c>
      <c r="H39" s="24">
        <f>G39+D39</f>
        <v>5433.48</v>
      </c>
    </row>
    <row r="40" spans="1:8" ht="12.75" customHeight="1">
      <c r="A40" s="1" t="s">
        <v>52</v>
      </c>
      <c r="B40" s="23">
        <f>SUM(B29*0.95)</f>
        <v>1102.95</v>
      </c>
      <c r="C40" s="23">
        <f>SUM(C29*1.29)</f>
        <v>2229.12</v>
      </c>
      <c r="D40" s="23">
        <f>C40+B40</f>
        <v>3332.0699999999997</v>
      </c>
      <c r="E40" s="23">
        <f>SUM(E29*3.27)</f>
        <v>1703.67</v>
      </c>
      <c r="F40" s="23">
        <f>SUM(F29*0)</f>
        <v>0</v>
      </c>
      <c r="G40" s="23">
        <f>F40+E40</f>
        <v>1703.67</v>
      </c>
      <c r="H40" s="24">
        <f>G40+D40</f>
        <v>5035.74</v>
      </c>
    </row>
    <row r="41" spans="1:8" ht="12.75" customHeight="1">
      <c r="A41" s="1" t="s">
        <v>57</v>
      </c>
      <c r="B41" s="23">
        <f>SUM(B30*0.95)</f>
        <v>1026</v>
      </c>
      <c r="C41" s="23">
        <f>SUM(C30*1.29)</f>
        <v>2311.6800000000003</v>
      </c>
      <c r="D41" s="23">
        <f>C41+B41</f>
        <v>3337.6800000000003</v>
      </c>
      <c r="E41" s="23">
        <f>SUM(E30*3.27)</f>
        <v>1602.3</v>
      </c>
      <c r="F41" s="23">
        <f>SUM(F30*0)</f>
        <v>0</v>
      </c>
      <c r="G41" s="23">
        <f>F41+E41</f>
        <v>1602.3</v>
      </c>
      <c r="H41" s="24">
        <f>G41+D41</f>
        <v>4939.9800000000005</v>
      </c>
    </row>
    <row r="42" spans="1:8" ht="12.75" customHeight="1">
      <c r="A42" s="16"/>
      <c r="B42" s="12"/>
      <c r="C42" s="12"/>
      <c r="D42" s="12"/>
      <c r="E42" s="12"/>
      <c r="F42" s="12"/>
      <c r="G42" s="12"/>
      <c r="H42" s="14"/>
    </row>
    <row r="43" ht="12.75" customHeight="1"/>
    <row r="44" ht="10.5">
      <c r="A44" s="56" t="s">
        <v>48</v>
      </c>
    </row>
    <row r="45" ht="10.5">
      <c r="A45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85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5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ht="12.75" customHeight="1">
      <c r="A1" s="17" t="s">
        <v>28</v>
      </c>
    </row>
    <row r="2" ht="12.75" customHeight="1"/>
    <row r="3" spans="1:8" s="26" customFormat="1" ht="12.75" customHeight="1">
      <c r="A3" s="1" t="s">
        <v>46</v>
      </c>
      <c r="B3" s="29" t="s">
        <v>13</v>
      </c>
      <c r="C3" s="29" t="s">
        <v>13</v>
      </c>
      <c r="D3" s="29" t="s">
        <v>7</v>
      </c>
      <c r="E3" s="29" t="s">
        <v>17</v>
      </c>
      <c r="F3" s="29" t="s">
        <v>17</v>
      </c>
      <c r="G3" s="30" t="s">
        <v>7</v>
      </c>
      <c r="H3" s="30" t="s">
        <v>8</v>
      </c>
    </row>
    <row r="4" spans="1:8" s="26" customFormat="1" ht="12.75" customHeight="1">
      <c r="A4" s="1"/>
      <c r="B4" s="31" t="s">
        <v>18</v>
      </c>
      <c r="C4" s="31" t="s">
        <v>19</v>
      </c>
      <c r="D4" s="31" t="s">
        <v>13</v>
      </c>
      <c r="E4" s="31" t="s">
        <v>20</v>
      </c>
      <c r="F4" s="31" t="s">
        <v>21</v>
      </c>
      <c r="G4" s="32" t="s">
        <v>17</v>
      </c>
      <c r="H4" s="32" t="s">
        <v>7</v>
      </c>
    </row>
    <row r="5" spans="2:8" ht="12.75" customHeight="1">
      <c r="B5" s="3"/>
      <c r="C5" s="3"/>
      <c r="D5" s="3"/>
      <c r="E5" s="3"/>
      <c r="F5" s="3"/>
      <c r="G5" s="3"/>
      <c r="H5" s="10"/>
    </row>
    <row r="6" spans="1:8" ht="12.75" customHeight="1">
      <c r="A6" s="1" t="s">
        <v>42</v>
      </c>
      <c r="B6" s="46">
        <f>237+624+741</f>
        <v>1602</v>
      </c>
      <c r="C6" s="46">
        <f>177+267+420</f>
        <v>864</v>
      </c>
      <c r="D6" s="46">
        <f>C6+B6</f>
        <v>2466</v>
      </c>
      <c r="E6" s="46">
        <f>48</f>
        <v>48</v>
      </c>
      <c r="F6" s="46">
        <v>0</v>
      </c>
      <c r="G6" s="46">
        <f>F6+E6</f>
        <v>48</v>
      </c>
      <c r="H6" s="48">
        <f>G6+D6</f>
        <v>2514</v>
      </c>
    </row>
    <row r="7" spans="1:8" ht="12.75" customHeight="1">
      <c r="A7" s="1" t="s">
        <v>49</v>
      </c>
      <c r="B7" s="46">
        <f>45+732+699</f>
        <v>1476</v>
      </c>
      <c r="C7" s="46">
        <f>120+246+315</f>
        <v>681</v>
      </c>
      <c r="D7" s="46">
        <f>C7+B7</f>
        <v>2157</v>
      </c>
      <c r="E7" s="46">
        <v>105</v>
      </c>
      <c r="F7" s="46">
        <v>0</v>
      </c>
      <c r="G7" s="46">
        <f>F7+E7</f>
        <v>105</v>
      </c>
      <c r="H7" s="48">
        <f>G7+D7</f>
        <v>2262</v>
      </c>
    </row>
    <row r="8" spans="1:8" ht="12.75" customHeight="1">
      <c r="A8" s="1" t="s">
        <v>50</v>
      </c>
      <c r="B8" s="46">
        <v>1365</v>
      </c>
      <c r="C8" s="46">
        <v>789</v>
      </c>
      <c r="D8" s="46">
        <f>C8+B8</f>
        <v>2154</v>
      </c>
      <c r="E8" s="46">
        <v>135</v>
      </c>
      <c r="F8" s="46">
        <v>0</v>
      </c>
      <c r="G8" s="46">
        <f>F8+E8</f>
        <v>135</v>
      </c>
      <c r="H8" s="48">
        <f>G8+D8</f>
        <v>2289</v>
      </c>
    </row>
    <row r="9" spans="1:8" ht="12.75" customHeight="1">
      <c r="A9" s="1" t="s">
        <v>52</v>
      </c>
      <c r="B9" s="46">
        <v>1458</v>
      </c>
      <c r="C9" s="46">
        <v>699</v>
      </c>
      <c r="D9" s="46">
        <f>C9+B9</f>
        <v>2157</v>
      </c>
      <c r="E9" s="46">
        <v>318</v>
      </c>
      <c r="F9" s="46">
        <v>0</v>
      </c>
      <c r="G9" s="46">
        <f>F9+E9</f>
        <v>318</v>
      </c>
      <c r="H9" s="48">
        <f>G9+D9</f>
        <v>2475</v>
      </c>
    </row>
    <row r="10" spans="1:8" ht="12.75" customHeight="1">
      <c r="A10" s="1" t="s">
        <v>57</v>
      </c>
      <c r="B10" s="46">
        <v>1755</v>
      </c>
      <c r="C10" s="46">
        <v>783</v>
      </c>
      <c r="D10" s="46">
        <f>C10+B10</f>
        <v>2538</v>
      </c>
      <c r="E10" s="46">
        <v>267</v>
      </c>
      <c r="F10" s="46">
        <v>0</v>
      </c>
      <c r="G10" s="46">
        <f>F10+E10</f>
        <v>267</v>
      </c>
      <c r="H10" s="48">
        <f>G10+D10</f>
        <v>2805</v>
      </c>
    </row>
    <row r="11" spans="1:8" ht="12.75" customHeight="1">
      <c r="A11" s="16"/>
      <c r="B11" s="12"/>
      <c r="C11" s="12"/>
      <c r="D11" s="12"/>
      <c r="E11" s="12"/>
      <c r="F11" s="12"/>
      <c r="G11" s="12"/>
      <c r="H11" s="14"/>
    </row>
    <row r="12" ht="12.75" customHeight="1"/>
    <row r="13" spans="1:8" ht="12.75" customHeight="1">
      <c r="A13" s="16"/>
      <c r="B13"/>
      <c r="C13"/>
      <c r="D13"/>
      <c r="E13"/>
      <c r="F13"/>
      <c r="G13"/>
      <c r="H13"/>
    </row>
    <row r="14" spans="1:8" s="26" customFormat="1" ht="12.75" customHeight="1">
      <c r="A14" s="1" t="s">
        <v>47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22</v>
      </c>
      <c r="G14" s="29" t="s">
        <v>23</v>
      </c>
      <c r="H14" s="30" t="s">
        <v>8</v>
      </c>
    </row>
    <row r="15" spans="2:8" s="26" customFormat="1" ht="12.75" customHeight="1"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1" t="s">
        <v>17</v>
      </c>
      <c r="H15" s="32" t="s">
        <v>7</v>
      </c>
    </row>
    <row r="16" spans="2:8" ht="12.75" customHeight="1">
      <c r="B16" s="7"/>
      <c r="C16" s="7"/>
      <c r="D16" s="7"/>
      <c r="E16" s="7"/>
      <c r="F16" s="7"/>
      <c r="G16" s="7"/>
      <c r="H16" s="9"/>
    </row>
    <row r="17" spans="1:8" ht="12.75" customHeight="1">
      <c r="A17" s="1" t="s">
        <v>42</v>
      </c>
      <c r="B17" s="23">
        <f>SUM(B6*0.95)</f>
        <v>1521.8999999999999</v>
      </c>
      <c r="C17" s="23">
        <f>SUM(C6*1.29)</f>
        <v>1114.56</v>
      </c>
      <c r="D17" s="23">
        <f>C17+B17</f>
        <v>2636.46</v>
      </c>
      <c r="E17" s="23">
        <f>SUM(E6*3.27)</f>
        <v>156.96</v>
      </c>
      <c r="F17" s="23">
        <f>SUM(F6*0)</f>
        <v>0</v>
      </c>
      <c r="G17" s="23">
        <f>F17+E17</f>
        <v>156.96</v>
      </c>
      <c r="H17" s="24">
        <f>G17+D17</f>
        <v>2793.42</v>
      </c>
    </row>
    <row r="18" spans="1:8" ht="12.75" customHeight="1">
      <c r="A18" s="1" t="s">
        <v>49</v>
      </c>
      <c r="B18" s="23">
        <f>SUM(B7*0.95)</f>
        <v>1402.2</v>
      </c>
      <c r="C18" s="23">
        <f>SUM(C7*1.29)</f>
        <v>878.49</v>
      </c>
      <c r="D18" s="23">
        <f>C18+B18</f>
        <v>2280.69</v>
      </c>
      <c r="E18" s="23">
        <f>SUM(E7*3.27)</f>
        <v>343.35</v>
      </c>
      <c r="F18" s="23">
        <f>SUM(F7*0)</f>
        <v>0</v>
      </c>
      <c r="G18" s="23">
        <f>F18+E18</f>
        <v>343.35</v>
      </c>
      <c r="H18" s="24">
        <f>G18+D18</f>
        <v>2624.04</v>
      </c>
    </row>
    <row r="19" spans="1:8" ht="12.75" customHeight="1">
      <c r="A19" s="1" t="s">
        <v>50</v>
      </c>
      <c r="B19" s="23">
        <f>SUM(B8*0.95)</f>
        <v>1296.75</v>
      </c>
      <c r="C19" s="23">
        <f>SUM(C8*1.29)</f>
        <v>1017.8100000000001</v>
      </c>
      <c r="D19" s="23">
        <f>C19+B19</f>
        <v>2314.56</v>
      </c>
      <c r="E19" s="23">
        <f>SUM(E8*3.27)</f>
        <v>441.45</v>
      </c>
      <c r="F19" s="23">
        <f>SUM(F8*0)</f>
        <v>0</v>
      </c>
      <c r="G19" s="23">
        <f>F19+E19</f>
        <v>441.45</v>
      </c>
      <c r="H19" s="24">
        <f>G19+D19</f>
        <v>2756.0099999999998</v>
      </c>
    </row>
    <row r="20" spans="1:8" ht="12.75" customHeight="1">
      <c r="A20" s="1" t="s">
        <v>52</v>
      </c>
      <c r="B20" s="23">
        <f>SUM(B9*0.95)</f>
        <v>1385.1</v>
      </c>
      <c r="C20" s="23">
        <f>SUM(C9*1.29)</f>
        <v>901.71</v>
      </c>
      <c r="D20" s="23">
        <f>C20+B20</f>
        <v>2286.81</v>
      </c>
      <c r="E20" s="23">
        <f>SUM(E9*3.27)</f>
        <v>1039.86</v>
      </c>
      <c r="F20" s="23">
        <f>SUM(F9*0)</f>
        <v>0</v>
      </c>
      <c r="G20" s="23">
        <f>F20+E20</f>
        <v>1039.86</v>
      </c>
      <c r="H20" s="24">
        <f>G20+D20</f>
        <v>3326.67</v>
      </c>
    </row>
    <row r="21" spans="1:8" ht="12.75" customHeight="1">
      <c r="A21" s="1" t="s">
        <v>57</v>
      </c>
      <c r="B21" s="23">
        <f>SUM(B10*0.95)</f>
        <v>1667.25</v>
      </c>
      <c r="C21" s="23">
        <f>SUM(C10*1.29)</f>
        <v>1010.07</v>
      </c>
      <c r="D21" s="23">
        <f>C21+B21</f>
        <v>2677.32</v>
      </c>
      <c r="E21" s="23">
        <f>SUM(E10*3.27)</f>
        <v>873.09</v>
      </c>
      <c r="F21" s="23">
        <f>SUM(F10*0)</f>
        <v>0</v>
      </c>
      <c r="G21" s="23">
        <f>F21+E21</f>
        <v>873.09</v>
      </c>
      <c r="H21" s="24">
        <f>G21+D21</f>
        <v>3550.4100000000003</v>
      </c>
    </row>
    <row r="22" spans="1:8" ht="12.75" customHeight="1">
      <c r="A22" s="16"/>
      <c r="B22" s="12"/>
      <c r="C22" s="12"/>
      <c r="D22" s="12"/>
      <c r="E22" s="12"/>
      <c r="F22" s="12"/>
      <c r="G22" s="12"/>
      <c r="H22" s="14"/>
    </row>
    <row r="24" ht="10.5">
      <c r="A24" s="56" t="s">
        <v>48</v>
      </c>
    </row>
    <row r="25" ht="10.5">
      <c r="A25" s="56"/>
    </row>
    <row r="32" ht="10.5" customHeight="1"/>
    <row r="34" ht="10.5" customHeight="1"/>
    <row r="44" ht="10.5" customHeight="1"/>
    <row r="46" ht="10.5" customHeight="1"/>
    <row r="55" ht="10.5" customHeight="1"/>
    <row r="65" ht="10.5" customHeight="1"/>
    <row r="67" ht="10.5" customHeight="1"/>
    <row r="76" ht="10.5" customHeight="1"/>
    <row r="79" ht="10.5" customHeight="1"/>
    <row r="80" ht="10.5" customHeight="1"/>
    <row r="89" ht="10.5" customHeight="1"/>
    <row r="90" ht="10.5" customHeight="1"/>
    <row r="91" ht="10.5" customHeight="1"/>
    <row r="92" ht="10.5" customHeight="1"/>
    <row r="101" ht="10.5" customHeight="1"/>
    <row r="102" ht="10.5" customHeight="1"/>
    <row r="103" ht="10.5" customHeight="1"/>
    <row r="112" ht="10.5" customHeight="1"/>
    <row r="130" ht="10.5" customHeight="1"/>
    <row r="140" ht="10.5" customHeight="1"/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75"/>
  <sheetViews>
    <sheetView workbookViewId="0" topLeftCell="A1">
      <selection activeCell="A14" sqref="A14"/>
    </sheetView>
  </sheetViews>
  <sheetFormatPr defaultColWidth="9.140625" defaultRowHeight="10.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2.75" customHeight="1">
      <c r="A1" s="17" t="s">
        <v>29</v>
      </c>
    </row>
    <row r="2" ht="12.75" customHeight="1">
      <c r="A2" s="17"/>
    </row>
    <row r="3" spans="1:18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93" t="s">
        <v>6</v>
      </c>
      <c r="M3" s="94"/>
      <c r="N3" s="75" t="s">
        <v>38</v>
      </c>
      <c r="O3" s="75"/>
      <c r="P3" s="35" t="s">
        <v>7</v>
      </c>
      <c r="Q3" s="36"/>
      <c r="R3" s="30" t="s">
        <v>8</v>
      </c>
    </row>
    <row r="4" spans="1:18" s="26" customFormat="1" ht="12.75" customHeight="1">
      <c r="A4" s="1" t="s">
        <v>53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7"/>
      <c r="O5" s="77"/>
      <c r="P5" s="3"/>
      <c r="Q5" s="4"/>
      <c r="R5" s="10"/>
    </row>
    <row r="6" spans="1:18" ht="12.75" customHeight="1">
      <c r="A6" s="1" t="s">
        <v>42</v>
      </c>
      <c r="B6" s="41">
        <v>13</v>
      </c>
      <c r="C6" s="43">
        <v>20</v>
      </c>
      <c r="D6" s="41">
        <v>0</v>
      </c>
      <c r="E6" s="43">
        <v>1</v>
      </c>
      <c r="F6" s="41">
        <v>0</v>
      </c>
      <c r="G6" s="43">
        <v>0</v>
      </c>
      <c r="H6" s="41">
        <v>1</v>
      </c>
      <c r="I6" s="43">
        <v>0</v>
      </c>
      <c r="J6" s="41">
        <v>0</v>
      </c>
      <c r="K6" s="43">
        <v>0</v>
      </c>
      <c r="L6" s="41">
        <v>3</v>
      </c>
      <c r="M6" s="43">
        <v>0</v>
      </c>
      <c r="N6" s="42">
        <v>0</v>
      </c>
      <c r="O6" s="42">
        <v>0</v>
      </c>
      <c r="P6" s="41">
        <f aca="true" t="shared" si="0" ref="P6:Q10">N6+L6+J6+H6+F6+D6+B6</f>
        <v>17</v>
      </c>
      <c r="Q6" s="43">
        <f t="shared" si="0"/>
        <v>21</v>
      </c>
      <c r="R6" s="44">
        <f>Q6+P6</f>
        <v>38</v>
      </c>
    </row>
    <row r="7" spans="1:18" ht="12.75" customHeight="1">
      <c r="A7" s="1" t="s">
        <v>49</v>
      </c>
      <c r="B7" s="41">
        <v>8</v>
      </c>
      <c r="C7" s="43">
        <v>16</v>
      </c>
      <c r="D7" s="41">
        <v>1</v>
      </c>
      <c r="E7" s="43">
        <v>7</v>
      </c>
      <c r="F7" s="41">
        <v>0</v>
      </c>
      <c r="G7" s="43">
        <v>1</v>
      </c>
      <c r="H7" s="41">
        <v>0</v>
      </c>
      <c r="I7" s="43">
        <v>1</v>
      </c>
      <c r="J7" s="41">
        <v>0</v>
      </c>
      <c r="K7" s="43">
        <v>0</v>
      </c>
      <c r="L7" s="41">
        <v>3</v>
      </c>
      <c r="M7" s="43">
        <v>0</v>
      </c>
      <c r="N7" s="42">
        <v>0</v>
      </c>
      <c r="O7" s="42">
        <v>0</v>
      </c>
      <c r="P7" s="41">
        <f t="shared" si="0"/>
        <v>12</v>
      </c>
      <c r="Q7" s="43">
        <f t="shared" si="0"/>
        <v>25</v>
      </c>
      <c r="R7" s="44">
        <f>Q7+P7</f>
        <v>37</v>
      </c>
    </row>
    <row r="8" spans="1:18" ht="12.75" customHeight="1">
      <c r="A8" s="1" t="s">
        <v>50</v>
      </c>
      <c r="B8" s="41">
        <v>16</v>
      </c>
      <c r="C8" s="43">
        <v>10</v>
      </c>
      <c r="D8" s="41">
        <v>1</v>
      </c>
      <c r="E8" s="43">
        <v>4</v>
      </c>
      <c r="F8" s="41">
        <v>0</v>
      </c>
      <c r="G8" s="43">
        <v>0</v>
      </c>
      <c r="H8" s="41">
        <v>1</v>
      </c>
      <c r="I8" s="43">
        <v>2</v>
      </c>
      <c r="J8" s="41">
        <v>0</v>
      </c>
      <c r="K8" s="43">
        <v>1</v>
      </c>
      <c r="L8" s="41">
        <v>1</v>
      </c>
      <c r="M8" s="43">
        <v>1</v>
      </c>
      <c r="N8" s="42">
        <v>0</v>
      </c>
      <c r="O8" s="42">
        <v>0</v>
      </c>
      <c r="P8" s="41">
        <f t="shared" si="0"/>
        <v>19</v>
      </c>
      <c r="Q8" s="43">
        <f t="shared" si="0"/>
        <v>18</v>
      </c>
      <c r="R8" s="44">
        <f>Q8+P8</f>
        <v>37</v>
      </c>
    </row>
    <row r="9" spans="1:18" ht="12.75" customHeight="1">
      <c r="A9" s="1" t="s">
        <v>52</v>
      </c>
      <c r="B9" s="41">
        <v>19</v>
      </c>
      <c r="C9" s="43">
        <v>18</v>
      </c>
      <c r="D9" s="41">
        <v>1</v>
      </c>
      <c r="E9" s="43">
        <v>3</v>
      </c>
      <c r="F9" s="41">
        <v>0</v>
      </c>
      <c r="G9" s="43">
        <v>0</v>
      </c>
      <c r="H9" s="41">
        <v>0</v>
      </c>
      <c r="I9" s="43">
        <v>1</v>
      </c>
      <c r="J9" s="41">
        <v>0</v>
      </c>
      <c r="K9" s="43">
        <v>2</v>
      </c>
      <c r="L9" s="41">
        <v>2</v>
      </c>
      <c r="M9" s="43">
        <v>0</v>
      </c>
      <c r="N9" s="42">
        <v>0</v>
      </c>
      <c r="O9" s="42">
        <v>0</v>
      </c>
      <c r="P9" s="41">
        <f t="shared" si="0"/>
        <v>22</v>
      </c>
      <c r="Q9" s="43">
        <f t="shared" si="0"/>
        <v>24</v>
      </c>
      <c r="R9" s="44">
        <f>Q9+P9</f>
        <v>46</v>
      </c>
    </row>
    <row r="10" spans="1:18" ht="12.75" customHeight="1">
      <c r="A10" s="1" t="s">
        <v>57</v>
      </c>
      <c r="B10" s="41">
        <v>5</v>
      </c>
      <c r="C10" s="43">
        <v>15</v>
      </c>
      <c r="D10" s="41">
        <v>3</v>
      </c>
      <c r="E10" s="43">
        <v>1</v>
      </c>
      <c r="F10" s="41">
        <v>1</v>
      </c>
      <c r="G10" s="43">
        <v>0</v>
      </c>
      <c r="H10" s="41">
        <v>0</v>
      </c>
      <c r="I10" s="43">
        <v>0</v>
      </c>
      <c r="J10" s="41">
        <v>1</v>
      </c>
      <c r="K10" s="43">
        <v>2</v>
      </c>
      <c r="L10" s="41">
        <v>2</v>
      </c>
      <c r="M10" s="43">
        <v>1</v>
      </c>
      <c r="N10" s="42">
        <v>0</v>
      </c>
      <c r="O10" s="42">
        <v>1</v>
      </c>
      <c r="P10" s="41">
        <f t="shared" si="0"/>
        <v>12</v>
      </c>
      <c r="Q10" s="43">
        <f t="shared" si="0"/>
        <v>20</v>
      </c>
      <c r="R10" s="44">
        <f>Q10+P10</f>
        <v>32</v>
      </c>
    </row>
    <row r="11" spans="2:18" ht="12.7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ht="12.75" customHeight="1"/>
    <row r="13" ht="12.75" customHeight="1">
      <c r="A13" s="1" t="s">
        <v>13</v>
      </c>
    </row>
    <row r="14" spans="1:18" s="26" customFormat="1" ht="12.75" customHeight="1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93" t="s">
        <v>6</v>
      </c>
      <c r="M14" s="94"/>
      <c r="N14" s="75" t="s">
        <v>38</v>
      </c>
      <c r="O14" s="75"/>
      <c r="P14" s="35" t="s">
        <v>7</v>
      </c>
      <c r="Q14" s="36"/>
      <c r="R14" s="30" t="s">
        <v>8</v>
      </c>
    </row>
    <row r="15" spans="1:18" s="26" customFormat="1" ht="12.75" customHeight="1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1" t="s">
        <v>9</v>
      </c>
      <c r="Q15" s="34" t="s">
        <v>10</v>
      </c>
      <c r="R15" s="32" t="s">
        <v>7</v>
      </c>
    </row>
    <row r="16" spans="1:18" ht="12.75" customHeight="1">
      <c r="A16" s="53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45"/>
      <c r="N16" s="19"/>
      <c r="O16" s="45"/>
      <c r="P16" s="7"/>
      <c r="Q16" s="8"/>
      <c r="R16" s="9"/>
    </row>
    <row r="17" spans="1:18" ht="12.75" customHeight="1">
      <c r="A17" s="1" t="s">
        <v>42</v>
      </c>
      <c r="B17" s="41">
        <v>49</v>
      </c>
      <c r="C17" s="42">
        <v>56</v>
      </c>
      <c r="D17" s="41">
        <v>5</v>
      </c>
      <c r="E17" s="42">
        <v>13</v>
      </c>
      <c r="F17" s="41">
        <v>1</v>
      </c>
      <c r="G17" s="42">
        <v>1</v>
      </c>
      <c r="H17" s="41">
        <v>2</v>
      </c>
      <c r="I17" s="42">
        <v>2</v>
      </c>
      <c r="J17" s="41">
        <v>0</v>
      </c>
      <c r="K17" s="42">
        <v>1</v>
      </c>
      <c r="L17" s="41">
        <v>6</v>
      </c>
      <c r="M17" s="42">
        <v>2</v>
      </c>
      <c r="N17" s="41">
        <v>0</v>
      </c>
      <c r="O17" s="42">
        <v>0</v>
      </c>
      <c r="P17" s="41">
        <f>L17+J17+H17+F17+D17+B17</f>
        <v>63</v>
      </c>
      <c r="Q17" s="43">
        <f>M17+K17+I17+G17+E17+C17</f>
        <v>75</v>
      </c>
      <c r="R17" s="44">
        <f>Q17+P17</f>
        <v>138</v>
      </c>
    </row>
    <row r="18" spans="1:18" ht="12.75" customHeight="1">
      <c r="A18" s="1" t="s">
        <v>49</v>
      </c>
      <c r="B18" s="41">
        <v>40</v>
      </c>
      <c r="C18" s="42">
        <v>38</v>
      </c>
      <c r="D18" s="41">
        <v>6</v>
      </c>
      <c r="E18" s="42">
        <v>16</v>
      </c>
      <c r="F18" s="41">
        <v>1</v>
      </c>
      <c r="G18" s="42">
        <v>1</v>
      </c>
      <c r="H18" s="41">
        <v>2</v>
      </c>
      <c r="I18" s="42">
        <v>2</v>
      </c>
      <c r="J18" s="41">
        <v>0</v>
      </c>
      <c r="K18" s="42">
        <v>3</v>
      </c>
      <c r="L18" s="41">
        <v>8</v>
      </c>
      <c r="M18" s="42">
        <v>1</v>
      </c>
      <c r="N18" s="41">
        <v>1</v>
      </c>
      <c r="O18" s="42">
        <v>1</v>
      </c>
      <c r="P18" s="41">
        <f aca="true" t="shared" si="1" ref="P18:Q21">L18+J18+H18+F18+D18+B18+N18</f>
        <v>58</v>
      </c>
      <c r="Q18" s="43">
        <f t="shared" si="1"/>
        <v>62</v>
      </c>
      <c r="R18" s="44">
        <f>Q18+P18</f>
        <v>120</v>
      </c>
    </row>
    <row r="19" spans="1:18" ht="12.75" customHeight="1">
      <c r="A19" s="1" t="s">
        <v>50</v>
      </c>
      <c r="B19" s="41">
        <v>41</v>
      </c>
      <c r="C19" s="42">
        <v>52</v>
      </c>
      <c r="D19" s="41">
        <v>4</v>
      </c>
      <c r="E19" s="42">
        <v>9</v>
      </c>
      <c r="F19" s="41">
        <v>0</v>
      </c>
      <c r="G19" s="42">
        <v>0</v>
      </c>
      <c r="H19" s="41">
        <v>2</v>
      </c>
      <c r="I19" s="42">
        <v>3</v>
      </c>
      <c r="J19" s="41">
        <v>0</v>
      </c>
      <c r="K19" s="42">
        <v>5</v>
      </c>
      <c r="L19" s="41">
        <v>5</v>
      </c>
      <c r="M19" s="42">
        <v>2</v>
      </c>
      <c r="N19" s="41">
        <v>0</v>
      </c>
      <c r="O19" s="42">
        <v>0</v>
      </c>
      <c r="P19" s="41">
        <f t="shared" si="1"/>
        <v>52</v>
      </c>
      <c r="Q19" s="43">
        <f t="shared" si="1"/>
        <v>71</v>
      </c>
      <c r="R19" s="44">
        <f>Q19+P19</f>
        <v>123</v>
      </c>
    </row>
    <row r="20" spans="1:18" ht="12.75" customHeight="1">
      <c r="A20" s="1" t="s">
        <v>52</v>
      </c>
      <c r="B20" s="41">
        <v>31</v>
      </c>
      <c r="C20" s="42">
        <v>52</v>
      </c>
      <c r="D20" s="41">
        <v>8</v>
      </c>
      <c r="E20" s="42">
        <v>12</v>
      </c>
      <c r="F20" s="41">
        <v>1</v>
      </c>
      <c r="G20" s="42">
        <v>0</v>
      </c>
      <c r="H20" s="41">
        <v>1</v>
      </c>
      <c r="I20" s="42">
        <v>5</v>
      </c>
      <c r="J20" s="41">
        <v>1</v>
      </c>
      <c r="K20" s="42">
        <v>4</v>
      </c>
      <c r="L20" s="41">
        <v>7</v>
      </c>
      <c r="M20" s="42">
        <v>1</v>
      </c>
      <c r="N20" s="41">
        <v>2</v>
      </c>
      <c r="O20" s="42">
        <v>4</v>
      </c>
      <c r="P20" s="41">
        <f t="shared" si="1"/>
        <v>51</v>
      </c>
      <c r="Q20" s="43">
        <f t="shared" si="1"/>
        <v>78</v>
      </c>
      <c r="R20" s="44">
        <f>Q20+P20</f>
        <v>129</v>
      </c>
    </row>
    <row r="21" spans="1:18" ht="12.75" customHeight="1">
      <c r="A21" s="1" t="s">
        <v>57</v>
      </c>
      <c r="B21" s="41">
        <v>29</v>
      </c>
      <c r="C21" s="42">
        <v>44</v>
      </c>
      <c r="D21" s="41">
        <v>8</v>
      </c>
      <c r="E21" s="42">
        <v>10</v>
      </c>
      <c r="F21" s="41">
        <v>1</v>
      </c>
      <c r="G21" s="42">
        <v>1</v>
      </c>
      <c r="H21" s="41">
        <v>0</v>
      </c>
      <c r="I21" s="42">
        <v>2</v>
      </c>
      <c r="J21" s="41">
        <v>2</v>
      </c>
      <c r="K21" s="42">
        <v>2</v>
      </c>
      <c r="L21" s="41">
        <v>7</v>
      </c>
      <c r="M21" s="42">
        <v>2</v>
      </c>
      <c r="N21" s="41">
        <v>2</v>
      </c>
      <c r="O21" s="42">
        <v>3</v>
      </c>
      <c r="P21" s="41">
        <f>L21+J21+H21+F21+D21+B21+N21</f>
        <v>49</v>
      </c>
      <c r="Q21" s="43">
        <f t="shared" si="1"/>
        <v>64</v>
      </c>
      <c r="R21" s="44">
        <f>Q21+P21</f>
        <v>113</v>
      </c>
    </row>
    <row r="22" spans="2:19" ht="12.75" customHeight="1"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  <c r="N22" s="12"/>
      <c r="O22" s="21"/>
      <c r="P22" s="12"/>
      <c r="Q22" s="21"/>
      <c r="R22" s="14"/>
      <c r="S22"/>
    </row>
    <row r="23" ht="10.5" customHeight="1">
      <c r="S23"/>
    </row>
    <row r="24" ht="10.5">
      <c r="A24" s="73"/>
    </row>
    <row r="25" ht="10.5"/>
    <row r="27" ht="10.5">
      <c r="A27" s="73"/>
    </row>
    <row r="42" spans="1:18" s="11" customFormat="1" ht="10.5" customHeight="1">
      <c r="A42" s="2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5" ht="10.5"/>
    <row r="46" ht="10.5"/>
    <row r="47" ht="10.5"/>
    <row r="49" ht="10.5"/>
    <row r="56" ht="10.5"/>
    <row r="64" spans="1:18" s="11" customFormat="1" ht="10.5" customHeight="1">
      <c r="A64" s="2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7" ht="10.5"/>
    <row r="75" spans="1:18" s="11" customFormat="1" ht="10.5" customHeight="1">
      <c r="A75" s="2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8" ht="10.5"/>
    <row r="79" ht="10.5"/>
    <row r="80" ht="10.5"/>
    <row r="82" ht="10.5"/>
    <row r="90" ht="10.5"/>
    <row r="92" ht="10.5"/>
    <row r="99" ht="10.5"/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6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7"/>
  <sheetViews>
    <sheetView zoomScale="115" zoomScaleNormal="115" workbookViewId="0" topLeftCell="A1">
      <selection activeCell="A14" sqref="A14"/>
    </sheetView>
  </sheetViews>
  <sheetFormatPr defaultColWidth="9.140625" defaultRowHeight="10.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ht="10.5" customHeight="1">
      <c r="A1" s="16" t="s">
        <v>51</v>
      </c>
    </row>
    <row r="2" ht="10.5" customHeight="1">
      <c r="A2" s="16"/>
    </row>
    <row r="3" ht="10.5" customHeight="1">
      <c r="A3" s="17" t="s">
        <v>23</v>
      </c>
    </row>
    <row r="4" ht="10.5" customHeight="1">
      <c r="A4" s="17"/>
    </row>
    <row r="5" ht="10.5" customHeight="1">
      <c r="A5" s="1" t="s">
        <v>13</v>
      </c>
    </row>
    <row r="6" spans="1:4" ht="10.5" customHeight="1">
      <c r="A6" s="1" t="s">
        <v>11</v>
      </c>
      <c r="B6" s="52" t="s">
        <v>16</v>
      </c>
      <c r="C6" s="52" t="s">
        <v>14</v>
      </c>
      <c r="D6" s="52" t="s">
        <v>15</v>
      </c>
    </row>
    <row r="7" spans="2:4" ht="10.5" customHeight="1">
      <c r="B7" s="10"/>
      <c r="C7" s="10"/>
      <c r="D7" s="10"/>
    </row>
    <row r="8" spans="1:4" ht="10.5" customHeight="1">
      <c r="A8" s="1" t="s">
        <v>42</v>
      </c>
      <c r="B8" s="92">
        <f>SUM(ACC2!B6,FIN2!B6,HRM2!B6,MGT2!B6,MIS2!B6,MKT2!B6,'PEN&amp;UND2'!B6)</f>
        <v>449</v>
      </c>
      <c r="C8" s="9">
        <f>SUM(ACC2!C6,FIN2!C6,HRM2!C6,MGT2!C6,MIS2!C6,MKT2!C6,'PEN&amp;UND2'!C6)</f>
        <v>1050</v>
      </c>
      <c r="D8" s="9">
        <f>SUM(ACC2!D6,FIN2!D6,HRM2!D6,MGT2!D6,MIS2!D6,MKT2!D6,'PEN&amp;UND2'!D6)</f>
        <v>995</v>
      </c>
    </row>
    <row r="9" spans="1:4" ht="10.5" customHeight="1">
      <c r="A9" s="1" t="s">
        <v>49</v>
      </c>
      <c r="B9" s="92">
        <f>SUM(ACC2!B7,FIN2!B7,HRM2!B7,MGT2!B7,MIS2!B7,MKT2!B7,'PEN&amp;UND2'!B7)</f>
        <v>444</v>
      </c>
      <c r="C9" s="9">
        <f>SUM(ACC2!C7,FIN2!C7,HRM2!C7,MGT2!C7,MIS2!C7,MKT2!C7,'PEN&amp;UND2'!C7)</f>
        <v>983</v>
      </c>
      <c r="D9" s="9">
        <f>SUM(ACC2!D7,FIN2!D7,HRM2!D7,MGT2!D7,MIS2!D7,MKT2!D7,'PEN&amp;UND2'!D7)</f>
        <v>911</v>
      </c>
    </row>
    <row r="10" spans="1:4" ht="10.5" customHeight="1">
      <c r="A10" s="1" t="s">
        <v>50</v>
      </c>
      <c r="B10" s="92">
        <f>SUM(ACC2!B8,FIN2!B8,HRM2!B8,MGT2!B8,MIS2!B8,MKT2!B8,'PEN&amp;UND2'!B8)</f>
        <v>442</v>
      </c>
      <c r="C10" s="9">
        <f>SUM(ACC2!C8,FIN2!C8,HRM2!C8,MGT2!C8,MIS2!C8,MKT2!C8,'PEN&amp;UND2'!C8)</f>
        <v>978</v>
      </c>
      <c r="D10" s="9">
        <f>SUM(ACC2!D8,FIN2!D8,HRM2!D8,MGT2!D8,MIS2!D8,MKT2!D8,'PEN&amp;UND2'!D8)</f>
        <v>903</v>
      </c>
    </row>
    <row r="11" spans="1:4" ht="11.25" customHeight="1">
      <c r="A11" s="1" t="s">
        <v>52</v>
      </c>
      <c r="B11" s="92">
        <f>SUM(ACC2!B9,FIN2!B9,HRM2!B9,MGT2!B9,MIS2!B9,MKT2!B9,'PEN&amp;UND2'!B9)</f>
        <v>438</v>
      </c>
      <c r="C11" s="9">
        <f>SUM(ACC2!C9,FIN2!C9,HRM2!C9,MGT2!C9,MIS2!C9,MKT2!C9,'PEN&amp;UND2'!C9)</f>
        <v>1053</v>
      </c>
      <c r="D11" s="9">
        <f>SUM(ACC2!D9,FIN2!D9,HRM2!D9,MGT2!D9,MIS2!D9,MKT2!D9,'PEN&amp;UND2'!D9)</f>
        <v>992</v>
      </c>
    </row>
    <row r="12" spans="1:4" ht="11.25" customHeight="1">
      <c r="A12" s="1" t="s">
        <v>57</v>
      </c>
      <c r="B12" s="92">
        <f>SUM(ACC2!B10,FIN2!B10,HRM2!B10,MGT2!B10,MIS2!B10,MKT2!B10,'PEN&amp;UND2'!B10)</f>
        <v>421</v>
      </c>
      <c r="C12" s="9">
        <f>SUM(ACC2!C10,FIN2!C10,HRM2!C10,MGT2!C10,MIS2!C10,MKT2!C10,'PEN&amp;UND2'!C10)</f>
        <v>1060</v>
      </c>
      <c r="D12" s="9">
        <f>SUM(ACC2!D10,FIN2!D10,HRM2!D10,MGT2!D10,MIS2!D10,MKT2!D10,'PEN&amp;UND2'!D10)</f>
        <v>1034</v>
      </c>
    </row>
    <row r="13" spans="1:4" ht="10.5" customHeight="1">
      <c r="A13" s="1"/>
      <c r="B13" s="6"/>
      <c r="C13" s="6"/>
      <c r="D13" s="6"/>
    </row>
    <row r="14" ht="10.5" customHeight="1">
      <c r="A14" s="16"/>
    </row>
    <row r="15" ht="10.5" customHeight="1">
      <c r="A15" s="1" t="s">
        <v>17</v>
      </c>
    </row>
    <row r="16" spans="1:4" s="26" customFormat="1" ht="10.5" customHeight="1">
      <c r="A16" s="1" t="s">
        <v>11</v>
      </c>
      <c r="B16" s="33" t="s">
        <v>16</v>
      </c>
      <c r="C16" s="33" t="s">
        <v>14</v>
      </c>
      <c r="D16" s="33" t="s">
        <v>15</v>
      </c>
    </row>
    <row r="17" spans="2:4" ht="10.5" customHeight="1">
      <c r="B17" s="10"/>
      <c r="C17" s="10"/>
      <c r="D17" s="10"/>
    </row>
    <row r="18" spans="1:4" ht="10.5" customHeight="1">
      <c r="A18" s="1" t="s">
        <v>42</v>
      </c>
      <c r="B18" s="60">
        <f>SUM(ACC2!B16,MGT2!B16,MIS2!B16,IAMI2!B6)</f>
        <v>110</v>
      </c>
      <c r="C18" s="60">
        <f>SUM(ACC2!C16,MGT2!C16,MIS2!C16,IAMI2!C6)</f>
        <v>177</v>
      </c>
      <c r="D18" s="60">
        <f>SUM(ACC2!D16,MGT2!D16,MIS2!D16,IAMI2!D6)</f>
        <v>162</v>
      </c>
    </row>
    <row r="19" spans="1:4" ht="10.5" customHeight="1">
      <c r="A19" s="1" t="s">
        <v>49</v>
      </c>
      <c r="B19" s="60">
        <f>SUM(ACC2!B17,MGT2!B17,MIS2!B17,IAMI2!B7)</f>
        <v>97</v>
      </c>
      <c r="C19" s="60">
        <f>SUM(ACC2!C17,MGT2!C17,MIS2!C17,IAMI2!C7)</f>
        <v>160</v>
      </c>
      <c r="D19" s="60">
        <f>SUM(ACC2!D17,MGT2!D17,MIS2!D17,IAMI2!D7)</f>
        <v>167</v>
      </c>
    </row>
    <row r="20" spans="1:4" ht="10.5" customHeight="1">
      <c r="A20" s="1" t="s">
        <v>50</v>
      </c>
      <c r="B20" s="60">
        <f>SUM(ACC2!B18,MGT2!B18,MIS2!B18,IAMI2!B8)</f>
        <v>117</v>
      </c>
      <c r="C20" s="60">
        <f>SUM(ACC2!C18,MGT2!C18,MIS2!C18,IAMI2!C8)</f>
        <v>197</v>
      </c>
      <c r="D20" s="60">
        <f>SUM(ACC2!D18,MGT2!D18,MIS2!D18,IAMI2!D8)</f>
        <v>201</v>
      </c>
    </row>
    <row r="21" spans="1:4" ht="10.5" customHeight="1">
      <c r="A21" s="1" t="s">
        <v>52</v>
      </c>
      <c r="B21" s="60">
        <f>SUM(ACC2!B19,MGT2!B19,MIS2!B19,IAMI2!B9)</f>
        <v>145</v>
      </c>
      <c r="C21" s="60">
        <f>SUM(ACC2!C19,MGT2!C19,MIS2!C19,IAMI2!C9)</f>
        <v>255</v>
      </c>
      <c r="D21" s="60">
        <f>SUM(ACC2!D19,MGT2!D19,MIS2!D19,IAMI2!D9)</f>
        <v>259</v>
      </c>
    </row>
    <row r="22" spans="1:4" ht="10.5" customHeight="1">
      <c r="A22" s="1" t="s">
        <v>57</v>
      </c>
      <c r="B22" s="60">
        <f>SUM(ACC2!B20,MGT2!B20,MIS2!B20,IAMI2!B10)</f>
        <v>185</v>
      </c>
      <c r="C22" s="60">
        <f>SUM(ACC2!C20,MGT2!C20,MIS2!C20,IAMI2!C10)</f>
        <v>291</v>
      </c>
      <c r="D22" s="60">
        <f>SUM(ACC2!D20,MGT2!D20,MIS2!D20,IAMI2!D10)</f>
        <v>267</v>
      </c>
    </row>
    <row r="23" spans="1:4" ht="10.5" customHeight="1">
      <c r="A23" s="1"/>
      <c r="B23" s="6"/>
      <c r="C23" s="6"/>
      <c r="D23" s="6"/>
    </row>
    <row r="25" spans="1:8" s="26" customFormat="1" ht="10.5" customHeight="1">
      <c r="A25" s="1" t="s">
        <v>46</v>
      </c>
      <c r="B25" s="29" t="s">
        <v>13</v>
      </c>
      <c r="C25" s="29" t="s">
        <v>13</v>
      </c>
      <c r="D25" s="29" t="s">
        <v>7</v>
      </c>
      <c r="E25" s="29" t="s">
        <v>17</v>
      </c>
      <c r="F25" s="29" t="s">
        <v>17</v>
      </c>
      <c r="G25" s="30" t="s">
        <v>7</v>
      </c>
      <c r="H25" s="30" t="s">
        <v>8</v>
      </c>
    </row>
    <row r="26" spans="1:8" s="26" customFormat="1" ht="10.5" customHeight="1">
      <c r="A26" s="1"/>
      <c r="B26" s="31" t="s">
        <v>18</v>
      </c>
      <c r="C26" s="31" t="s">
        <v>19</v>
      </c>
      <c r="D26" s="31" t="s">
        <v>13</v>
      </c>
      <c r="E26" s="31" t="s">
        <v>20</v>
      </c>
      <c r="F26" s="31" t="s">
        <v>21</v>
      </c>
      <c r="G26" s="32" t="s">
        <v>17</v>
      </c>
      <c r="H26" s="32" t="s">
        <v>7</v>
      </c>
    </row>
    <row r="27" spans="2:8" ht="10.5" customHeight="1">
      <c r="B27" s="3"/>
      <c r="C27" s="3"/>
      <c r="D27" s="3"/>
      <c r="E27" s="3"/>
      <c r="F27" s="3"/>
      <c r="G27" s="3"/>
      <c r="H27" s="10"/>
    </row>
    <row r="28" spans="1:8" ht="10.5" customHeight="1">
      <c r="A28" s="1" t="s">
        <v>42</v>
      </c>
      <c r="B28" s="46">
        <f>MKT2!B17+MSC2!B6+MIS2!B26+MGT2!B26+FIN2!B17+ECN2!B7+BLS2!B6+ACC2!B26</f>
        <v>8496</v>
      </c>
      <c r="C28" s="46">
        <f>MKT2!C17+MSC2!C6+MIS2!C26+MGT2!C26+FIN2!C17+ECN2!C7+BLS2!C6+ACC2!C26</f>
        <v>13335</v>
      </c>
      <c r="D28" s="46">
        <f>MKT2!D17+MSC2!D6+MIS2!D26+MGT2!D26+FIN2!D17+ECN2!D7+BLS2!D6+ACC2!D26</f>
        <v>21831</v>
      </c>
      <c r="E28" s="46">
        <f>MKT2!E17+MSC2!E6+MIS2!E26+MGT2!E26+FIN2!E17+ECN2!E7+BLS2!E6+ACC2!E26</f>
        <v>2408</v>
      </c>
      <c r="F28" s="46">
        <f>MKT2!F17+MSC2!F6+MIS2!F26+MGT2!F26+FIN2!F17+ECN2!F7+BLS2!F6+ACC2!F26</f>
        <v>0</v>
      </c>
      <c r="G28" s="46">
        <f>MKT2!G17+MSC2!G6+MIS2!G26+MGT2!G26+FIN2!G17+ECN2!G7+BLS2!G6+ACC2!G26</f>
        <v>2408</v>
      </c>
      <c r="H28" s="48">
        <f>MKT2!H17+MSC2!H6+MIS2!H26+MGT2!H26+FIN2!H17+ECN2!H7+BLS2!H6+ACC2!H26</f>
        <v>24239</v>
      </c>
    </row>
    <row r="29" spans="1:8" ht="10.5" customHeight="1">
      <c r="A29" s="1" t="s">
        <v>49</v>
      </c>
      <c r="B29" s="46">
        <f>MKT2!B18+MSC2!B7+MIS2!B27+MGT2!B27+FIN2!B18+ECN2!B8+BLS2!B7+ACC2!B27</f>
        <v>8358</v>
      </c>
      <c r="C29" s="46">
        <f>MKT2!C18+MSC2!C7+MIS2!C27+MGT2!C27+FIN2!C18+ECN2!C8+BLS2!C7+ACC2!C27</f>
        <v>12842</v>
      </c>
      <c r="D29" s="46">
        <f>MKT2!D18+MSC2!D7+MIS2!D27+MGT2!D27+FIN2!D18+ECN2!D8+BLS2!D7+ACC2!D27</f>
        <v>21200</v>
      </c>
      <c r="E29" s="46">
        <f>MKT2!E18+MSC2!E7+MIS2!E27+MGT2!E27+FIN2!E18+ECN2!E8+BLS2!E7+ACC2!E27</f>
        <v>2317</v>
      </c>
      <c r="F29" s="46">
        <f>MKT2!F18+MSC2!F7+MIS2!F27+MGT2!F27+FIN2!F18+ECN2!F8+BLS2!F7+ACC2!F27</f>
        <v>0</v>
      </c>
      <c r="G29" s="46">
        <f>MKT2!G18+MSC2!G7+MIS2!G27+MGT2!G27+FIN2!G18+ECN2!G8+BLS2!G7+ACC2!G27</f>
        <v>2317</v>
      </c>
      <c r="H29" s="48">
        <f>MKT2!H18+MSC2!H7+MIS2!H27+MGT2!H27+FIN2!H18+ECN2!H8+BLS2!H7+ACC2!H27</f>
        <v>23517</v>
      </c>
    </row>
    <row r="30" spans="1:8" ht="10.5" customHeight="1">
      <c r="A30" s="1" t="s">
        <v>50</v>
      </c>
      <c r="B30" s="46">
        <f>MKT2!B19+MSC2!B8+MIS2!B28+MGT2!B28+FIN2!B19+ECN2!B9+BLS2!B8+ACC2!B28</f>
        <v>8190</v>
      </c>
      <c r="C30" s="46">
        <f>MKT2!C19+MSC2!C8+MIS2!C28+MGT2!C28+FIN2!C19+ECN2!C9+BLS2!C8+ACC2!C28</f>
        <v>12660</v>
      </c>
      <c r="D30" s="46">
        <f>MKT2!D19+MSC2!D8+MIS2!D28+MGT2!D28+FIN2!D19+ECN2!D9+BLS2!D8+ACC2!D28</f>
        <v>20850</v>
      </c>
      <c r="E30" s="46">
        <f>MKT2!E19+MSC2!E8+MIS2!E28+MGT2!E28+FIN2!E19+ECN2!E9+BLS2!E8+ACC2!E28</f>
        <v>2817</v>
      </c>
      <c r="F30" s="46">
        <f>MKT2!F19+MSC2!F8+MIS2!F28+MGT2!F28+FIN2!F19+ECN2!F9+BLS2!F8+ACC2!F28</f>
        <v>0</v>
      </c>
      <c r="G30" s="46">
        <f>MKT2!G19+MSC2!G8+MIS2!G28+MGT2!G28+FIN2!G19+ECN2!G9+BLS2!G8+ACC2!G28</f>
        <v>2817</v>
      </c>
      <c r="H30" s="48">
        <f>MKT2!H19+MSC2!H8+MIS2!H28+MGT2!H28+FIN2!H19+ECN2!H9+BLS2!H8+ACC2!H28</f>
        <v>23667</v>
      </c>
    </row>
    <row r="31" spans="1:8" ht="10.5" customHeight="1">
      <c r="A31" s="1" t="s">
        <v>52</v>
      </c>
      <c r="B31" s="46">
        <f>MKT2!B20+MSC2!B9+MIS2!B29+MGT2!B29+FIN2!B20+ECN2!B10+BLS2!B9+ACC2!B29</f>
        <v>8673</v>
      </c>
      <c r="C31" s="46">
        <f>MKT2!C20+MSC2!C9+MIS2!C29+MGT2!C29+FIN2!C20+ECN2!C10+BLS2!C9+ACC2!C29</f>
        <v>12800</v>
      </c>
      <c r="D31" s="46">
        <f>MKT2!D20+MSC2!D9+MIS2!D29+MGT2!D29+FIN2!D20+ECN2!D10+BLS2!D9+ACC2!D29</f>
        <v>21473</v>
      </c>
      <c r="E31" s="46">
        <f>MKT2!E20+MSC2!E9+MIS2!E29+MGT2!E29+FIN2!E20+ECN2!E10+BLS2!E9+ACC2!E29</f>
        <v>3698</v>
      </c>
      <c r="F31" s="46">
        <f>MKT2!F20+MSC2!F9+MIS2!F29+MGT2!F29+FIN2!F20+ECN2!F10+BLS2!F9+ACC2!F29</f>
        <v>0</v>
      </c>
      <c r="G31" s="46">
        <f>MKT2!G20+MSC2!G9+MIS2!G29+MGT2!G29+FIN2!G20+ECN2!G10+BLS2!G9+ACC2!G29</f>
        <v>3698</v>
      </c>
      <c r="H31" s="48">
        <f>MKT2!H20+MSC2!H9+MIS2!H29+MGT2!H29+FIN2!H20+ECN2!H10+BLS2!H9+ACC2!H29</f>
        <v>25171</v>
      </c>
    </row>
    <row r="32" spans="1:8" ht="10.5" customHeight="1">
      <c r="A32" s="1" t="s">
        <v>57</v>
      </c>
      <c r="B32" s="46">
        <f>MKT2!B21+MSC2!B10+MIS2!B30+MGT2!B30+FIN2!B21+ECN2!B11+BLS2!B10+ACC2!B30</f>
        <v>8073</v>
      </c>
      <c r="C32" s="46">
        <f>MKT2!C21+MSC2!C10+MIS2!C30+MGT2!C30+FIN2!C21+ECN2!C11+BLS2!C10+ACC2!C30</f>
        <v>13987</v>
      </c>
      <c r="D32" s="46">
        <f>MKT2!D21+MSC2!D10+MIS2!D30+MGT2!D30+FIN2!D21+ECN2!D11+BLS2!D10+ACC2!D30</f>
        <v>22060</v>
      </c>
      <c r="E32" s="46">
        <f>MKT2!E21+MSC2!E10+MIS2!E30+MGT2!E30+FIN2!E21+ECN2!E11+BLS2!E10+ACC2!E30</f>
        <v>4269</v>
      </c>
      <c r="F32" s="46">
        <f>MKT2!F21+MSC2!F10+MIS2!F30+MGT2!F30+FIN2!F21+ECN2!F11+BLS2!F10+ACC2!F30</f>
        <v>0</v>
      </c>
      <c r="G32" s="46">
        <f>MKT2!G21+MSC2!G10+MIS2!G30+MGT2!G30+FIN2!G21+ECN2!G11+BLS2!G10+ACC2!G30</f>
        <v>4269</v>
      </c>
      <c r="H32" s="48">
        <f>MKT2!H21+MSC2!H10+MIS2!H30+MGT2!H30+FIN2!H21+ECN2!H11+BLS2!H10+ACC2!H30</f>
        <v>26329</v>
      </c>
    </row>
    <row r="33" spans="1:8" ht="10.5" customHeight="1">
      <c r="A33" s="16"/>
      <c r="B33" s="12"/>
      <c r="C33" s="12"/>
      <c r="D33" s="12"/>
      <c r="E33" s="12"/>
      <c r="F33" s="12"/>
      <c r="G33" s="12"/>
      <c r="H33" s="14"/>
    </row>
    <row r="35" spans="1:8" s="26" customFormat="1" ht="10.5" customHeight="1">
      <c r="A35" s="1" t="s">
        <v>47</v>
      </c>
      <c r="B35" s="29" t="s">
        <v>13</v>
      </c>
      <c r="C35" s="29" t="s">
        <v>13</v>
      </c>
      <c r="D35" s="29" t="s">
        <v>7</v>
      </c>
      <c r="E35" s="29" t="s">
        <v>17</v>
      </c>
      <c r="F35" s="29" t="s">
        <v>22</v>
      </c>
      <c r="G35" s="29" t="s">
        <v>23</v>
      </c>
      <c r="H35" s="30" t="s">
        <v>8</v>
      </c>
    </row>
    <row r="36" spans="2:8" s="26" customFormat="1" ht="10.5" customHeight="1">
      <c r="B36" s="31" t="s">
        <v>18</v>
      </c>
      <c r="C36" s="31" t="s">
        <v>19</v>
      </c>
      <c r="D36" s="31" t="s">
        <v>13</v>
      </c>
      <c r="E36" s="31" t="s">
        <v>20</v>
      </c>
      <c r="F36" s="31" t="s">
        <v>21</v>
      </c>
      <c r="G36" s="31" t="s">
        <v>17</v>
      </c>
      <c r="H36" s="32" t="s">
        <v>7</v>
      </c>
    </row>
    <row r="37" spans="2:8" ht="10.5" customHeight="1">
      <c r="B37" s="7"/>
      <c r="C37" s="7"/>
      <c r="D37" s="7"/>
      <c r="E37" s="7"/>
      <c r="F37" s="7"/>
      <c r="G37" s="7"/>
      <c r="H37" s="5"/>
    </row>
    <row r="38" spans="1:8" ht="10.5" customHeight="1">
      <c r="A38" s="1" t="s">
        <v>42</v>
      </c>
      <c r="B38" s="23">
        <f>MKT2!B28+MSC2!B17+MIS2!B37+MGT2!B36+FIN2!B27+ECN2!B18+BLS2!B17+ACC2!B36</f>
        <v>8071.199999999999</v>
      </c>
      <c r="C38" s="23">
        <f>MKT2!C28+MSC2!C17+MIS2!C37+MGT2!C36+FIN2!C27+ECN2!C18+BLS2!C17+ACC2!C36</f>
        <v>17202.15</v>
      </c>
      <c r="D38" s="23">
        <f>MKT2!D28+MSC2!D17+MIS2!D37+MGT2!D36+FIN2!D27+ECN2!D18+BLS2!D17+ACC2!D36</f>
        <v>25273.350000000002</v>
      </c>
      <c r="E38" s="23">
        <f>MKT2!E28+MSC2!E17+MIS2!E37+MGT2!E36+FIN2!E27+ECN2!E18+BLS2!E17+ACC2!E36</f>
        <v>7874.16</v>
      </c>
      <c r="F38" s="23">
        <f>MKT2!F28+MSC2!F17+MIS2!F37+MGT2!F36+FIN2!F27+ECN2!F18+BLS2!F17+ACC2!F36</f>
        <v>0</v>
      </c>
      <c r="G38" s="23">
        <f>MKT2!G28+MSC2!G17+MIS2!G37+MGT2!G36+FIN2!G27+ECN2!G18+BLS2!G17+ACC2!G36</f>
        <v>7874.16</v>
      </c>
      <c r="H38" s="24">
        <f>MKT2!H28+MSC2!H17+MIS2!H37+MGT2!H36+FIN2!H27+ECN2!H18+BLS2!H17+ACC2!H36</f>
        <v>33147.509999999995</v>
      </c>
    </row>
    <row r="39" spans="1:8" ht="10.5" customHeight="1">
      <c r="A39" s="1" t="s">
        <v>49</v>
      </c>
      <c r="B39" s="23">
        <f>MKT2!B29+MSC2!B18+MIS2!B38+MGT2!B37+FIN2!B28+ECN2!B19+BLS2!B18+ACC2!B37</f>
        <v>7940.1</v>
      </c>
      <c r="C39" s="23">
        <f>MKT2!C29+MSC2!C18+MIS2!C38+MGT2!C37+FIN2!C28+ECN2!C19+BLS2!C18+ACC2!C37</f>
        <v>16566.18</v>
      </c>
      <c r="D39" s="23">
        <f>MKT2!D29+MSC2!D18+MIS2!D38+MGT2!D37+FIN2!D28+ECN2!D19+BLS2!D18+ACC2!D37</f>
        <v>24506.28</v>
      </c>
      <c r="E39" s="23">
        <f>MKT2!E29+MSC2!E18+MIS2!E38+MGT2!E37+FIN2!E28+ECN2!E19+BLS2!E18+ACC2!E37</f>
        <v>7576.59</v>
      </c>
      <c r="F39" s="23">
        <f>MKT2!F29+MSC2!F18+MIS2!F38+MGT2!F37+FIN2!F28+ECN2!F19+BLS2!F18+ACC2!F37</f>
        <v>0</v>
      </c>
      <c r="G39" s="23">
        <f>MKT2!G29+MSC2!G18+MIS2!G38+MGT2!G37+FIN2!G28+ECN2!G19+BLS2!G18+ACC2!G37</f>
        <v>7576.59</v>
      </c>
      <c r="H39" s="24">
        <f>MKT2!H29+MSC2!H18+MIS2!H38+MGT2!H37+FIN2!H28+ECN2!H19+BLS2!H18+ACC2!H37</f>
        <v>32082.87</v>
      </c>
    </row>
    <row r="40" spans="1:8" ht="10.5" customHeight="1">
      <c r="A40" s="1" t="s">
        <v>50</v>
      </c>
      <c r="B40" s="23">
        <f>MKT2!B30+MSC2!B19+MIS2!B39+MGT2!B38+FIN2!B29+ECN2!B20+BLS2!B19+ACC2!B38</f>
        <v>7780.5</v>
      </c>
      <c r="C40" s="23">
        <f>MKT2!C30+MSC2!C19+MIS2!C39+MGT2!C38+FIN2!C29+ECN2!C20+BLS2!C19+ACC2!C38</f>
        <v>16331.399999999998</v>
      </c>
      <c r="D40" s="23">
        <f>MKT2!D30+MSC2!D19+MIS2!D39+MGT2!D38+FIN2!D29+ECN2!D20+BLS2!D19+ACC2!D38</f>
        <v>24111.9</v>
      </c>
      <c r="E40" s="23">
        <f>MKT2!E30+MSC2!E19+MIS2!E39+MGT2!E38+FIN2!E29+ECN2!E20+BLS2!E19+ACC2!E38</f>
        <v>9211.59</v>
      </c>
      <c r="F40" s="23">
        <f>MKT2!F30+MSC2!F19+MIS2!F39+MGT2!F38+FIN2!F29+ECN2!F20+BLS2!F19+ACC2!F38</f>
        <v>0</v>
      </c>
      <c r="G40" s="23">
        <f>MKT2!G30+MSC2!G19+MIS2!G39+MGT2!G38+FIN2!G29+ECN2!G20+BLS2!G19+ACC2!G38</f>
        <v>9211.59</v>
      </c>
      <c r="H40" s="24">
        <f>MKT2!H30+MSC2!H19+MIS2!H39+MGT2!H38+FIN2!H29+ECN2!H20+BLS2!H19+ACC2!H38</f>
        <v>33323.490000000005</v>
      </c>
    </row>
    <row r="41" spans="1:8" ht="10.5" customHeight="1">
      <c r="A41" s="1" t="s">
        <v>52</v>
      </c>
      <c r="B41" s="23">
        <f>MKT2!B31+MSC2!B20+MIS2!B40+MGT2!B39+FIN2!B30+ECN2!B21+BLS2!B20+ACC2!B39</f>
        <v>8239.349999999999</v>
      </c>
      <c r="C41" s="23">
        <f>MKT2!C31+MSC2!C20+MIS2!C40+MGT2!C39+FIN2!C30+ECN2!C21+BLS2!C20+ACC2!C39</f>
        <v>16512.000000000004</v>
      </c>
      <c r="D41" s="23">
        <f>MKT2!D31+MSC2!D20+MIS2!D40+MGT2!D39+FIN2!D30+ECN2!D21+BLS2!D20+ACC2!D39</f>
        <v>24751.35</v>
      </c>
      <c r="E41" s="23">
        <f>MKT2!E31+MSC2!E20+MIS2!E40+MGT2!E39+FIN2!E30+ECN2!E21+BLS2!E20+ACC2!E39</f>
        <v>12092.46</v>
      </c>
      <c r="F41" s="23">
        <f>MKT2!F31+MSC2!F20+MIS2!F40+MGT2!F39+FIN2!F30+ECN2!F21+BLS2!F20+ACC2!F39</f>
        <v>0</v>
      </c>
      <c r="G41" s="23">
        <f>MKT2!G31+MSC2!G20+MIS2!G40+MGT2!G39+FIN2!G30+ECN2!G21+BLS2!G20+ACC2!G39</f>
        <v>12092.46</v>
      </c>
      <c r="H41" s="24">
        <f>MKT2!H31+MSC2!H20+MIS2!H40+MGT2!H39+FIN2!H30+ECN2!H21+BLS2!H20+ACC2!H39</f>
        <v>36843.81</v>
      </c>
    </row>
    <row r="42" spans="1:8" ht="10.5" customHeight="1">
      <c r="A42" s="1" t="s">
        <v>57</v>
      </c>
      <c r="B42" s="23">
        <f>MKT2!B32+MSC2!B21+MIS2!B41+MGT2!B40+FIN2!B31+ECN2!B22+BLS2!B21+ACC2!B40</f>
        <v>7669.349999999999</v>
      </c>
      <c r="C42" s="23">
        <f>MKT2!C32+MSC2!C21+MIS2!C41+MGT2!C40+FIN2!C31+ECN2!C22+BLS2!C21+ACC2!C40</f>
        <v>18043.23</v>
      </c>
      <c r="D42" s="23">
        <f>MKT2!D32+MSC2!D21+MIS2!D41+MGT2!D40+FIN2!D31+ECN2!D22+BLS2!D21+ACC2!D40</f>
        <v>25712.579999999998</v>
      </c>
      <c r="E42" s="23">
        <f>MKT2!E32+MSC2!E21+MIS2!E41+MGT2!E40+FIN2!E31+ECN2!E22+BLS2!E21+ACC2!E40</f>
        <v>13959.629999999997</v>
      </c>
      <c r="F42" s="23">
        <f>MKT2!F32+MSC2!F21+MIS2!F41+MGT2!F40+FIN2!F31+ECN2!F22+BLS2!F21+ACC2!F40</f>
        <v>0</v>
      </c>
      <c r="G42" s="23">
        <f>MKT2!G32+MSC2!G21+MIS2!G41+MGT2!G40+FIN2!G31+ECN2!G22+BLS2!G21+ACC2!G40</f>
        <v>13959.629999999997</v>
      </c>
      <c r="H42" s="24">
        <f>MKT2!H32+MSC2!H21+MIS2!H41+MGT2!H40+FIN2!H31+ECN2!H22+BLS2!H21+ACC2!H40</f>
        <v>39672.21000000001</v>
      </c>
    </row>
    <row r="43" spans="1:8" ht="10.5" customHeight="1">
      <c r="A43" s="16"/>
      <c r="B43" s="12"/>
      <c r="C43" s="12"/>
      <c r="D43" s="12"/>
      <c r="E43" s="12"/>
      <c r="F43" s="12"/>
      <c r="G43" s="12"/>
      <c r="H43" s="14"/>
    </row>
    <row r="45" ht="10.5" customHeight="1">
      <c r="A45" s="56" t="s">
        <v>48</v>
      </c>
    </row>
    <row r="47" ht="10.5" customHeight="1">
      <c r="A47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36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7" t="s">
        <v>29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42</v>
      </c>
      <c r="B6" s="9">
        <v>62</v>
      </c>
      <c r="C6" s="9">
        <f>MKT!R17</f>
        <v>138</v>
      </c>
      <c r="D6" s="9">
        <v>124</v>
      </c>
    </row>
    <row r="7" spans="1:4" ht="12.75" customHeight="1">
      <c r="A7" s="1" t="s">
        <v>49</v>
      </c>
      <c r="B7" s="9">
        <v>52</v>
      </c>
      <c r="C7" s="9">
        <f>MKT!R18</f>
        <v>120</v>
      </c>
      <c r="D7" s="9">
        <v>119</v>
      </c>
    </row>
    <row r="8" spans="1:4" ht="12.75" customHeight="1">
      <c r="A8" s="1" t="s">
        <v>50</v>
      </c>
      <c r="B8" s="9">
        <v>54</v>
      </c>
      <c r="C8" s="9">
        <f>MKT!R19</f>
        <v>123</v>
      </c>
      <c r="D8" s="9">
        <v>112</v>
      </c>
    </row>
    <row r="9" spans="1:4" ht="12.75" customHeight="1">
      <c r="A9" s="1" t="s">
        <v>52</v>
      </c>
      <c r="B9" s="9">
        <v>57</v>
      </c>
      <c r="C9" s="9">
        <f>MKT!R20</f>
        <v>129</v>
      </c>
      <c r="D9" s="9">
        <v>118</v>
      </c>
    </row>
    <row r="10" spans="1:4" ht="12.75" customHeight="1">
      <c r="A10" s="1" t="s">
        <v>57</v>
      </c>
      <c r="B10" s="9">
        <v>47</v>
      </c>
      <c r="C10" s="9">
        <f>MKT!R21</f>
        <v>113</v>
      </c>
      <c r="D10" s="9">
        <v>103</v>
      </c>
    </row>
    <row r="11" spans="1:4" ht="12.75" customHeight="1">
      <c r="A11" s="1"/>
      <c r="B11" s="6"/>
      <c r="C11" s="6"/>
      <c r="D11" s="6"/>
    </row>
    <row r="12" ht="12.75" customHeight="1">
      <c r="A12" s="16"/>
    </row>
    <row r="13" ht="12.75" customHeight="1"/>
    <row r="14" spans="1:8" s="26" customFormat="1" ht="13.5" customHeight="1">
      <c r="A14" s="1" t="s">
        <v>46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17</v>
      </c>
      <c r="G14" s="30" t="s">
        <v>7</v>
      </c>
      <c r="H14" s="30" t="s">
        <v>8</v>
      </c>
    </row>
    <row r="15" spans="1:8" s="26" customFormat="1" ht="13.5" customHeight="1">
      <c r="A15" s="1"/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2" t="s">
        <v>17</v>
      </c>
      <c r="H15" s="32" t="s">
        <v>7</v>
      </c>
    </row>
    <row r="16" spans="2:8" ht="12.75" customHeight="1">
      <c r="B16" s="3"/>
      <c r="C16" s="3"/>
      <c r="D16" s="3"/>
      <c r="E16" s="3"/>
      <c r="F16" s="3"/>
      <c r="G16" s="3"/>
      <c r="H16" s="10"/>
    </row>
    <row r="17" spans="1:8" ht="12.75" customHeight="1">
      <c r="A17" s="1" t="s">
        <v>42</v>
      </c>
      <c r="B17" s="46">
        <v>0</v>
      </c>
      <c r="C17" s="46">
        <f>291+1047+1098</f>
        <v>2436</v>
      </c>
      <c r="D17" s="46">
        <f>C17+B17</f>
        <v>2436</v>
      </c>
      <c r="E17" s="46">
        <f>93+111</f>
        <v>204</v>
      </c>
      <c r="F17" s="46">
        <v>0</v>
      </c>
      <c r="G17" s="46">
        <f>F17+E17</f>
        <v>204</v>
      </c>
      <c r="H17" s="48">
        <f>G17+D17</f>
        <v>2640</v>
      </c>
    </row>
    <row r="18" spans="1:8" ht="12.75" customHeight="1">
      <c r="A18" s="1" t="s">
        <v>49</v>
      </c>
      <c r="B18" s="46">
        <v>0</v>
      </c>
      <c r="C18" s="46">
        <f>346+987+944</f>
        <v>2277</v>
      </c>
      <c r="D18" s="46">
        <f>C18+B18</f>
        <v>2277</v>
      </c>
      <c r="E18" s="46">
        <f>6+108+99</f>
        <v>213</v>
      </c>
      <c r="F18" s="46">
        <v>0</v>
      </c>
      <c r="G18" s="46">
        <f>F18+E18</f>
        <v>213</v>
      </c>
      <c r="H18" s="48">
        <f>G18+D18</f>
        <v>2490</v>
      </c>
    </row>
    <row r="19" spans="1:8" ht="12.75" customHeight="1">
      <c r="A19" s="1" t="s">
        <v>50</v>
      </c>
      <c r="B19" s="46">
        <v>0</v>
      </c>
      <c r="C19" s="46">
        <v>2252</v>
      </c>
      <c r="D19" s="46">
        <f>C19+B19</f>
        <v>2252</v>
      </c>
      <c r="E19" s="46">
        <v>258</v>
      </c>
      <c r="F19" s="46">
        <v>0</v>
      </c>
      <c r="G19" s="46">
        <f>F19+E19</f>
        <v>258</v>
      </c>
      <c r="H19" s="48">
        <f>G19+D19</f>
        <v>2510</v>
      </c>
    </row>
    <row r="20" spans="1:8" ht="12.75" customHeight="1">
      <c r="A20" s="1" t="s">
        <v>52</v>
      </c>
      <c r="B20" s="46">
        <v>0</v>
      </c>
      <c r="C20" s="46">
        <v>2313</v>
      </c>
      <c r="D20" s="46">
        <f>C20+B20</f>
        <v>2313</v>
      </c>
      <c r="E20" s="46">
        <v>465</v>
      </c>
      <c r="F20" s="46">
        <v>0</v>
      </c>
      <c r="G20" s="46">
        <f>F20+E20</f>
        <v>465</v>
      </c>
      <c r="H20" s="48">
        <f>G20+D20</f>
        <v>2778</v>
      </c>
    </row>
    <row r="21" spans="1:8" ht="12.75" customHeight="1">
      <c r="A21" s="1" t="s">
        <v>57</v>
      </c>
      <c r="B21" s="46">
        <v>0</v>
      </c>
      <c r="C21" s="46">
        <v>2468</v>
      </c>
      <c r="D21" s="46">
        <f>C21+B21</f>
        <v>2468</v>
      </c>
      <c r="E21" s="46">
        <v>456</v>
      </c>
      <c r="F21" s="46">
        <v>0</v>
      </c>
      <c r="G21" s="46">
        <f>F21+E21</f>
        <v>456</v>
      </c>
      <c r="H21" s="48">
        <f>G21+D21</f>
        <v>2924</v>
      </c>
    </row>
    <row r="22" spans="1:8" ht="12.75" customHeight="1">
      <c r="A22" s="16"/>
      <c r="B22" s="12"/>
      <c r="C22" s="12"/>
      <c r="D22" s="12"/>
      <c r="E22" s="12"/>
      <c r="F22" s="12"/>
      <c r="G22" s="12"/>
      <c r="H22" s="14"/>
    </row>
    <row r="23" ht="12.75" customHeight="1"/>
    <row r="24" spans="1:8" ht="12.75" customHeight="1">
      <c r="A24" s="16"/>
      <c r="B24"/>
      <c r="C24"/>
      <c r="D24"/>
      <c r="E24"/>
      <c r="F24"/>
      <c r="G24"/>
      <c r="H24"/>
    </row>
    <row r="25" spans="1:8" s="26" customFormat="1" ht="12.75" customHeight="1">
      <c r="A25" s="1" t="s">
        <v>47</v>
      </c>
      <c r="B25" s="29" t="s">
        <v>13</v>
      </c>
      <c r="C25" s="29" t="s">
        <v>13</v>
      </c>
      <c r="D25" s="29" t="s">
        <v>7</v>
      </c>
      <c r="E25" s="29" t="s">
        <v>17</v>
      </c>
      <c r="F25" s="29" t="s">
        <v>22</v>
      </c>
      <c r="G25" s="29" t="s">
        <v>23</v>
      </c>
      <c r="H25" s="30" t="s">
        <v>8</v>
      </c>
    </row>
    <row r="26" spans="2:8" s="26" customFormat="1" ht="12.75" customHeight="1">
      <c r="B26" s="31" t="s">
        <v>18</v>
      </c>
      <c r="C26" s="31" t="s">
        <v>19</v>
      </c>
      <c r="D26" s="31" t="s">
        <v>13</v>
      </c>
      <c r="E26" s="31" t="s">
        <v>20</v>
      </c>
      <c r="F26" s="31" t="s">
        <v>21</v>
      </c>
      <c r="G26" s="31" t="s">
        <v>17</v>
      </c>
      <c r="H26" s="32" t="s">
        <v>7</v>
      </c>
    </row>
    <row r="27" spans="2:8" ht="12.75" customHeight="1">
      <c r="B27" s="7"/>
      <c r="C27" s="7"/>
      <c r="D27" s="7"/>
      <c r="E27" s="7"/>
      <c r="F27" s="7"/>
      <c r="G27" s="7"/>
      <c r="H27" s="9"/>
    </row>
    <row r="28" spans="1:8" ht="12.75" customHeight="1">
      <c r="A28" s="1" t="s">
        <v>42</v>
      </c>
      <c r="B28" s="23">
        <f>SUM(B17*0.95)</f>
        <v>0</v>
      </c>
      <c r="C28" s="23">
        <f>SUM(C17*1.29)</f>
        <v>3142.44</v>
      </c>
      <c r="D28" s="23">
        <f>C28+B28</f>
        <v>3142.44</v>
      </c>
      <c r="E28" s="23">
        <f>SUM(E17*3.27)</f>
        <v>667.08</v>
      </c>
      <c r="F28" s="23">
        <f>SUM(F17*0)</f>
        <v>0</v>
      </c>
      <c r="G28" s="23">
        <f>F28+E28</f>
        <v>667.08</v>
      </c>
      <c r="H28" s="24">
        <f>G28+D28</f>
        <v>3809.52</v>
      </c>
    </row>
    <row r="29" spans="1:8" ht="12.75" customHeight="1">
      <c r="A29" s="1" t="s">
        <v>49</v>
      </c>
      <c r="B29" s="23">
        <f>SUM(B18*0.95)</f>
        <v>0</v>
      </c>
      <c r="C29" s="23">
        <f>SUM(C18*1.29)</f>
        <v>2937.33</v>
      </c>
      <c r="D29" s="23">
        <f>C29+B29</f>
        <v>2937.33</v>
      </c>
      <c r="E29" s="23">
        <f>SUM(E18*3.27)</f>
        <v>696.51</v>
      </c>
      <c r="F29" s="23">
        <f>SUM(F18*0)</f>
        <v>0</v>
      </c>
      <c r="G29" s="23">
        <f>F29+E29</f>
        <v>696.51</v>
      </c>
      <c r="H29" s="24">
        <f>G29+D29</f>
        <v>3633.84</v>
      </c>
    </row>
    <row r="30" spans="1:8" ht="12.75" customHeight="1">
      <c r="A30" s="1" t="s">
        <v>50</v>
      </c>
      <c r="B30" s="23">
        <f>SUM(B19*0.95)</f>
        <v>0</v>
      </c>
      <c r="C30" s="23">
        <f>SUM(C19*1.29)</f>
        <v>2905.08</v>
      </c>
      <c r="D30" s="23">
        <f>C30+B30</f>
        <v>2905.08</v>
      </c>
      <c r="E30" s="23">
        <f>SUM(E19*3.27)</f>
        <v>843.66</v>
      </c>
      <c r="F30" s="23">
        <f>SUM(F19*0)</f>
        <v>0</v>
      </c>
      <c r="G30" s="23">
        <f>F30+E30</f>
        <v>843.66</v>
      </c>
      <c r="H30" s="24">
        <f>G30+D30</f>
        <v>3748.74</v>
      </c>
    </row>
    <row r="31" spans="1:8" ht="12.75" customHeight="1">
      <c r="A31" s="1" t="s">
        <v>52</v>
      </c>
      <c r="B31" s="23">
        <f>SUM(B20*0.95)</f>
        <v>0</v>
      </c>
      <c r="C31" s="23">
        <f>SUM(C20*1.29)</f>
        <v>2983.77</v>
      </c>
      <c r="D31" s="23">
        <f>C31+B31</f>
        <v>2983.77</v>
      </c>
      <c r="E31" s="23">
        <f>SUM(E20*3.27)</f>
        <v>1520.55</v>
      </c>
      <c r="F31" s="23">
        <f>SUM(F20*0)</f>
        <v>0</v>
      </c>
      <c r="G31" s="23">
        <f>F31+E31</f>
        <v>1520.55</v>
      </c>
      <c r="H31" s="24">
        <f>G31+D31</f>
        <v>4504.32</v>
      </c>
    </row>
    <row r="32" spans="1:8" ht="12.75" customHeight="1">
      <c r="A32" s="1" t="s">
        <v>57</v>
      </c>
      <c r="B32" s="23">
        <f>SUM(B21*0.95)</f>
        <v>0</v>
      </c>
      <c r="C32" s="23">
        <f>SUM(C21*1.29)</f>
        <v>3183.7200000000003</v>
      </c>
      <c r="D32" s="23">
        <f>C32+B32</f>
        <v>3183.7200000000003</v>
      </c>
      <c r="E32" s="23">
        <f>SUM(E21*3.27)</f>
        <v>1491.1200000000001</v>
      </c>
      <c r="F32" s="23">
        <f>SUM(F21*0)</f>
        <v>0</v>
      </c>
      <c r="G32" s="23">
        <f>F32+E32</f>
        <v>1491.1200000000001</v>
      </c>
      <c r="H32" s="24">
        <f>G32+D32</f>
        <v>4674.84</v>
      </c>
    </row>
    <row r="33" spans="1:8" ht="12.75" customHeight="1">
      <c r="A33" s="16"/>
      <c r="B33" s="12"/>
      <c r="C33" s="12"/>
      <c r="D33" s="12"/>
      <c r="E33" s="12"/>
      <c r="F33" s="12"/>
      <c r="G33" s="12"/>
      <c r="H33" s="14"/>
    </row>
    <row r="34" ht="12.75" customHeight="1"/>
    <row r="35" ht="10.5">
      <c r="A35" s="56" t="s">
        <v>48</v>
      </c>
    </row>
    <row r="36" ht="10.5">
      <c r="A36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5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7109375" style="26" customWidth="1"/>
    <col min="2" max="15" width="7.28125" style="2" customWidth="1"/>
    <col min="16" max="16384" width="9.140625" style="2" customWidth="1"/>
  </cols>
  <sheetData>
    <row r="1" ht="12.75" customHeight="1">
      <c r="A1" s="18" t="s">
        <v>30</v>
      </c>
    </row>
    <row r="2" ht="12.75" customHeight="1">
      <c r="A2" s="18"/>
    </row>
    <row r="3" spans="1:16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35" t="s">
        <v>7</v>
      </c>
      <c r="O3" s="36"/>
      <c r="P3" s="30" t="s">
        <v>8</v>
      </c>
    </row>
    <row r="4" spans="1:16" s="26" customFormat="1" ht="12.75" customHeight="1">
      <c r="A4" s="1" t="s">
        <v>40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2" t="s">
        <v>7</v>
      </c>
    </row>
    <row r="5" spans="1:16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0"/>
    </row>
    <row r="6" spans="1:16" ht="12.75" customHeight="1">
      <c r="A6" s="1" t="s">
        <v>32</v>
      </c>
      <c r="B6" s="41">
        <v>0</v>
      </c>
      <c r="C6" s="43">
        <v>0</v>
      </c>
      <c r="D6" s="41">
        <v>0</v>
      </c>
      <c r="E6" s="43">
        <v>0</v>
      </c>
      <c r="F6" s="41">
        <v>0</v>
      </c>
      <c r="G6" s="43">
        <v>0</v>
      </c>
      <c r="H6" s="41">
        <v>0</v>
      </c>
      <c r="I6" s="43">
        <v>0</v>
      </c>
      <c r="J6" s="41">
        <v>0</v>
      </c>
      <c r="K6" s="43">
        <v>0</v>
      </c>
      <c r="L6" s="41">
        <v>0</v>
      </c>
      <c r="M6" s="43">
        <v>0</v>
      </c>
      <c r="N6" s="41">
        <f aca="true" t="shared" si="0" ref="N6:O10">L6+J6+H6+F6+D6+B6</f>
        <v>0</v>
      </c>
      <c r="O6" s="43">
        <f t="shared" si="0"/>
        <v>0</v>
      </c>
      <c r="P6" s="44">
        <f>O6+N6</f>
        <v>0</v>
      </c>
    </row>
    <row r="7" spans="1:16" ht="12.75" customHeight="1">
      <c r="A7" s="65" t="s">
        <v>33</v>
      </c>
      <c r="B7" s="41">
        <v>0</v>
      </c>
      <c r="C7" s="43">
        <v>0</v>
      </c>
      <c r="D7" s="41">
        <v>0</v>
      </c>
      <c r="E7" s="43">
        <v>0</v>
      </c>
      <c r="F7" s="41">
        <v>0</v>
      </c>
      <c r="G7" s="43">
        <v>0</v>
      </c>
      <c r="H7" s="41">
        <v>0</v>
      </c>
      <c r="I7" s="43">
        <v>0</v>
      </c>
      <c r="J7" s="41">
        <v>0</v>
      </c>
      <c r="K7" s="43">
        <v>0</v>
      </c>
      <c r="L7" s="41">
        <v>0</v>
      </c>
      <c r="M7" s="43">
        <v>0</v>
      </c>
      <c r="N7" s="41">
        <f t="shared" si="0"/>
        <v>0</v>
      </c>
      <c r="O7" s="43">
        <f t="shared" si="0"/>
        <v>0</v>
      </c>
      <c r="P7" s="44">
        <f>O7+N7</f>
        <v>0</v>
      </c>
    </row>
    <row r="8" spans="1:16" ht="12.75" customHeight="1">
      <c r="A8" s="53" t="s">
        <v>36</v>
      </c>
      <c r="B8" s="41">
        <v>0</v>
      </c>
      <c r="C8" s="43">
        <v>0</v>
      </c>
      <c r="D8" s="41">
        <v>0</v>
      </c>
      <c r="E8" s="43">
        <v>0</v>
      </c>
      <c r="F8" s="41">
        <v>0</v>
      </c>
      <c r="G8" s="43">
        <v>0</v>
      </c>
      <c r="H8" s="41">
        <v>0</v>
      </c>
      <c r="I8" s="43">
        <v>0</v>
      </c>
      <c r="J8" s="41">
        <v>0</v>
      </c>
      <c r="K8" s="43">
        <v>0</v>
      </c>
      <c r="L8" s="41">
        <v>0</v>
      </c>
      <c r="M8" s="43">
        <v>0</v>
      </c>
      <c r="N8" s="41">
        <f t="shared" si="0"/>
        <v>0</v>
      </c>
      <c r="O8" s="43">
        <f t="shared" si="0"/>
        <v>0</v>
      </c>
      <c r="P8" s="44">
        <f>O8+N8</f>
        <v>0</v>
      </c>
    </row>
    <row r="9" spans="1:16" ht="12.75" customHeight="1">
      <c r="A9" s="1" t="s">
        <v>37</v>
      </c>
      <c r="B9" s="41">
        <v>0</v>
      </c>
      <c r="C9" s="43">
        <v>0</v>
      </c>
      <c r="D9" s="41">
        <v>0</v>
      </c>
      <c r="E9" s="43">
        <v>0</v>
      </c>
      <c r="F9" s="41">
        <v>0</v>
      </c>
      <c r="G9" s="43">
        <v>0</v>
      </c>
      <c r="H9" s="41">
        <v>0</v>
      </c>
      <c r="I9" s="43">
        <v>0</v>
      </c>
      <c r="J9" s="41">
        <v>0</v>
      </c>
      <c r="K9" s="43">
        <v>0</v>
      </c>
      <c r="L9" s="41">
        <v>0</v>
      </c>
      <c r="M9" s="43">
        <v>0</v>
      </c>
      <c r="N9" s="41">
        <f t="shared" si="0"/>
        <v>0</v>
      </c>
      <c r="O9" s="43">
        <f t="shared" si="0"/>
        <v>0</v>
      </c>
      <c r="P9" s="44">
        <f>O9+N9</f>
        <v>0</v>
      </c>
    </row>
    <row r="10" spans="1:16" ht="12.75" customHeight="1">
      <c r="A10" s="1" t="s">
        <v>39</v>
      </c>
      <c r="B10" s="41">
        <v>0</v>
      </c>
      <c r="C10" s="43">
        <v>0</v>
      </c>
      <c r="D10" s="41">
        <v>0</v>
      </c>
      <c r="E10" s="43">
        <v>0</v>
      </c>
      <c r="F10" s="41">
        <v>0</v>
      </c>
      <c r="G10" s="43">
        <v>0</v>
      </c>
      <c r="H10" s="41">
        <v>0</v>
      </c>
      <c r="I10" s="43">
        <v>0</v>
      </c>
      <c r="J10" s="41">
        <v>0</v>
      </c>
      <c r="K10" s="43">
        <v>0</v>
      </c>
      <c r="L10" s="41">
        <v>0</v>
      </c>
      <c r="M10" s="43">
        <v>0</v>
      </c>
      <c r="N10" s="41">
        <f t="shared" si="0"/>
        <v>0</v>
      </c>
      <c r="O10" s="43">
        <f t="shared" si="0"/>
        <v>0</v>
      </c>
      <c r="P10" s="44">
        <f>O10+N10</f>
        <v>0</v>
      </c>
    </row>
    <row r="11" spans="2:16" ht="12.7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4"/>
    </row>
    <row r="13" ht="12.75" customHeight="1">
      <c r="A13" s="1" t="s">
        <v>13</v>
      </c>
    </row>
    <row r="14" spans="1:16" s="26" customFormat="1" ht="12.75" customHeight="1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35" t="s">
        <v>6</v>
      </c>
      <c r="M14" s="36"/>
      <c r="N14" s="35" t="s">
        <v>7</v>
      </c>
      <c r="O14" s="36"/>
      <c r="P14" s="30" t="s">
        <v>8</v>
      </c>
    </row>
    <row r="15" spans="1:16" s="26" customFormat="1" ht="12.75" customHeight="1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2" t="s">
        <v>7</v>
      </c>
    </row>
    <row r="16" spans="1:16" ht="12.75" customHeight="1">
      <c r="A16" s="1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  <c r="N16" s="7"/>
      <c r="O16" s="8"/>
      <c r="P16" s="9"/>
    </row>
    <row r="17" spans="1:16" s="11" customFormat="1" ht="12.75" customHeight="1">
      <c r="A17" s="15" t="s">
        <v>32</v>
      </c>
      <c r="B17" s="41">
        <v>0</v>
      </c>
      <c r="C17" s="42">
        <v>0</v>
      </c>
      <c r="D17" s="41">
        <v>0</v>
      </c>
      <c r="E17" s="42">
        <v>0</v>
      </c>
      <c r="F17" s="41">
        <v>0</v>
      </c>
      <c r="G17" s="42">
        <v>0</v>
      </c>
      <c r="H17" s="41">
        <v>0</v>
      </c>
      <c r="I17" s="42">
        <v>0</v>
      </c>
      <c r="J17" s="41">
        <v>0</v>
      </c>
      <c r="K17" s="42">
        <v>0</v>
      </c>
      <c r="L17" s="41">
        <v>0</v>
      </c>
      <c r="M17" s="42">
        <v>0</v>
      </c>
      <c r="N17" s="41">
        <f aca="true" t="shared" si="1" ref="N17:O21">L17+J17+H17+F17+D17+B17</f>
        <v>0</v>
      </c>
      <c r="O17" s="42">
        <f t="shared" si="1"/>
        <v>0</v>
      </c>
      <c r="P17" s="44">
        <f>O17+N17</f>
        <v>0</v>
      </c>
    </row>
    <row r="18" spans="1:16" s="11" customFormat="1" ht="12.75" customHeight="1">
      <c r="A18" s="65" t="s">
        <v>33</v>
      </c>
      <c r="B18" s="41">
        <v>0</v>
      </c>
      <c r="C18" s="42">
        <v>0</v>
      </c>
      <c r="D18" s="41">
        <v>0</v>
      </c>
      <c r="E18" s="42">
        <v>0</v>
      </c>
      <c r="F18" s="41">
        <v>0</v>
      </c>
      <c r="G18" s="42">
        <v>0</v>
      </c>
      <c r="H18" s="41">
        <v>0</v>
      </c>
      <c r="I18" s="42">
        <v>0</v>
      </c>
      <c r="J18" s="41">
        <v>0</v>
      </c>
      <c r="K18" s="42">
        <v>0</v>
      </c>
      <c r="L18" s="41">
        <v>0</v>
      </c>
      <c r="M18" s="42">
        <v>0</v>
      </c>
      <c r="N18" s="41">
        <f t="shared" si="1"/>
        <v>0</v>
      </c>
      <c r="O18" s="42">
        <f t="shared" si="1"/>
        <v>0</v>
      </c>
      <c r="P18" s="44">
        <f>O18+N18</f>
        <v>0</v>
      </c>
    </row>
    <row r="19" spans="1:16" s="11" customFormat="1" ht="12.75" customHeight="1">
      <c r="A19" s="65" t="s">
        <v>36</v>
      </c>
      <c r="B19" s="41">
        <v>0</v>
      </c>
      <c r="C19" s="42">
        <v>0</v>
      </c>
      <c r="D19" s="41">
        <v>0</v>
      </c>
      <c r="E19" s="42">
        <v>0</v>
      </c>
      <c r="F19" s="41">
        <v>0</v>
      </c>
      <c r="G19" s="42">
        <v>0</v>
      </c>
      <c r="H19" s="41">
        <v>0</v>
      </c>
      <c r="I19" s="42">
        <v>0</v>
      </c>
      <c r="J19" s="41">
        <v>0</v>
      </c>
      <c r="K19" s="42">
        <v>0</v>
      </c>
      <c r="L19" s="41">
        <v>0</v>
      </c>
      <c r="M19" s="42">
        <v>0</v>
      </c>
      <c r="N19" s="41">
        <f t="shared" si="1"/>
        <v>0</v>
      </c>
      <c r="O19" s="42">
        <f t="shared" si="1"/>
        <v>0</v>
      </c>
      <c r="P19" s="44">
        <f>O19+N19</f>
        <v>0</v>
      </c>
    </row>
    <row r="20" spans="1:16" s="11" customFormat="1" ht="12.75" customHeight="1">
      <c r="A20" s="15" t="s">
        <v>37</v>
      </c>
      <c r="B20" s="41">
        <v>0</v>
      </c>
      <c r="C20" s="42">
        <v>0</v>
      </c>
      <c r="D20" s="41">
        <v>0</v>
      </c>
      <c r="E20" s="42">
        <v>0</v>
      </c>
      <c r="F20" s="41">
        <v>0</v>
      </c>
      <c r="G20" s="42">
        <v>0</v>
      </c>
      <c r="H20" s="41">
        <v>0</v>
      </c>
      <c r="I20" s="42">
        <v>0</v>
      </c>
      <c r="J20" s="41">
        <v>0</v>
      </c>
      <c r="K20" s="42">
        <v>0</v>
      </c>
      <c r="L20" s="41">
        <v>0</v>
      </c>
      <c r="M20" s="42">
        <v>0</v>
      </c>
      <c r="N20" s="41">
        <f t="shared" si="1"/>
        <v>0</v>
      </c>
      <c r="O20" s="42">
        <f t="shared" si="1"/>
        <v>0</v>
      </c>
      <c r="P20" s="44">
        <f>O20+N20</f>
        <v>0</v>
      </c>
    </row>
    <row r="21" spans="1:16" s="11" customFormat="1" ht="12.75" customHeight="1">
      <c r="A21" s="15" t="s">
        <v>39</v>
      </c>
      <c r="B21" s="41">
        <v>0</v>
      </c>
      <c r="C21" s="4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2">
        <v>0</v>
      </c>
      <c r="J21" s="41">
        <v>0</v>
      </c>
      <c r="K21" s="42">
        <v>0</v>
      </c>
      <c r="L21" s="41">
        <v>0</v>
      </c>
      <c r="M21" s="42">
        <v>0</v>
      </c>
      <c r="N21" s="41">
        <f t="shared" si="1"/>
        <v>0</v>
      </c>
      <c r="O21" s="42">
        <f t="shared" si="1"/>
        <v>0</v>
      </c>
      <c r="P21" s="44">
        <f>O21+N21</f>
        <v>0</v>
      </c>
    </row>
    <row r="22" spans="2:17" ht="12.75" customHeight="1"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  <c r="N22" s="12"/>
      <c r="O22" s="21"/>
      <c r="P22" s="14"/>
      <c r="Q22"/>
    </row>
    <row r="23" ht="12.75" customHeight="1">
      <c r="Q23"/>
    </row>
    <row r="24" spans="1:17" ht="12.75" customHeight="1">
      <c r="A24" s="73"/>
      <c r="Q24"/>
    </row>
    <row r="25" spans="1:17" ht="12.75" customHeight="1">
      <c r="A25" s="26" t="s">
        <v>41</v>
      </c>
      <c r="Q25"/>
    </row>
    <row r="42" spans="1:16" s="11" customFormat="1" ht="12.75" customHeight="1">
      <c r="A42" s="2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53" spans="1:16" s="11" customFormat="1" ht="12.75" customHeight="1">
      <c r="A53" s="2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02/15/04 (mwc)
&amp;F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8" t="s">
        <v>30</v>
      </c>
      <c r="B1" s="11"/>
      <c r="C1" s="11"/>
      <c r="D1" s="11"/>
      <c r="E1" s="11"/>
      <c r="F1" s="11"/>
      <c r="G1" s="11"/>
      <c r="H1" s="11"/>
    </row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32</v>
      </c>
      <c r="B6" s="9">
        <v>0</v>
      </c>
      <c r="C6" s="9">
        <v>0</v>
      </c>
      <c r="D6" s="9">
        <v>0</v>
      </c>
    </row>
    <row r="7" spans="1:4" ht="12.75" customHeight="1">
      <c r="A7" s="1" t="s">
        <v>33</v>
      </c>
      <c r="B7" s="9">
        <v>0</v>
      </c>
      <c r="C7" s="9">
        <v>0</v>
      </c>
      <c r="D7" s="9">
        <v>0</v>
      </c>
    </row>
    <row r="8" spans="1:4" ht="12.75" customHeight="1">
      <c r="A8" s="1" t="s">
        <v>36</v>
      </c>
      <c r="B8" s="9">
        <v>0</v>
      </c>
      <c r="C8" s="9">
        <v>0</v>
      </c>
      <c r="D8" s="9">
        <v>1</v>
      </c>
    </row>
    <row r="9" spans="1:4" ht="12.75" customHeight="1">
      <c r="A9" s="1" t="s">
        <v>37</v>
      </c>
      <c r="B9" s="9">
        <v>0</v>
      </c>
      <c r="C9" s="9">
        <v>0</v>
      </c>
      <c r="D9" s="9">
        <v>0</v>
      </c>
    </row>
    <row r="10" spans="1:4" ht="12.75" customHeight="1">
      <c r="A10" s="1" t="s">
        <v>39</v>
      </c>
      <c r="B10" s="9">
        <v>0</v>
      </c>
      <c r="C10" s="9">
        <v>0</v>
      </c>
      <c r="D10" s="9">
        <v>0</v>
      </c>
    </row>
    <row r="11" spans="1:4" ht="12.75" customHeight="1">
      <c r="A11" s="1"/>
      <c r="B11" s="6"/>
      <c r="C11" s="6"/>
      <c r="D11" s="6"/>
    </row>
    <row r="12" ht="12.75" customHeight="1">
      <c r="A12" s="16"/>
    </row>
  </sheetData>
  <printOptions/>
  <pageMargins left="1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02/15/04 (mwc)
&amp;F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S14"/>
  <sheetViews>
    <sheetView workbookViewId="0" topLeftCell="A1">
      <selection activeCell="A14" sqref="A14"/>
    </sheetView>
  </sheetViews>
  <sheetFormatPr defaultColWidth="9.140625" defaultRowHeight="12.7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2.75" customHeight="1">
      <c r="A1" s="18" t="s">
        <v>31</v>
      </c>
    </row>
    <row r="3" ht="12.75" customHeight="1">
      <c r="A3" s="1" t="s">
        <v>13</v>
      </c>
    </row>
    <row r="4" spans="1:18" s="26" customFormat="1" ht="12.75" customHeight="1">
      <c r="A4" s="1" t="s">
        <v>11</v>
      </c>
      <c r="B4" s="35" t="s">
        <v>1</v>
      </c>
      <c r="C4" s="36"/>
      <c r="D4" s="35" t="s">
        <v>2</v>
      </c>
      <c r="E4" s="36"/>
      <c r="F4" s="35" t="s">
        <v>3</v>
      </c>
      <c r="G4" s="36"/>
      <c r="H4" s="35" t="s">
        <v>4</v>
      </c>
      <c r="I4" s="36"/>
      <c r="J4" s="35" t="s">
        <v>5</v>
      </c>
      <c r="K4" s="36"/>
      <c r="L4" s="93" t="s">
        <v>6</v>
      </c>
      <c r="M4" s="94"/>
      <c r="N4" s="75" t="s">
        <v>38</v>
      </c>
      <c r="O4" s="75"/>
      <c r="P4" s="35" t="s">
        <v>7</v>
      </c>
      <c r="Q4" s="36"/>
      <c r="R4" s="30" t="s">
        <v>8</v>
      </c>
    </row>
    <row r="5" spans="1:18" s="26" customFormat="1" ht="12.75" customHeight="1">
      <c r="A5" s="1" t="s">
        <v>12</v>
      </c>
      <c r="B5" s="31" t="s">
        <v>9</v>
      </c>
      <c r="C5" s="34" t="s">
        <v>10</v>
      </c>
      <c r="D5" s="31" t="s">
        <v>9</v>
      </c>
      <c r="E5" s="34" t="s">
        <v>10</v>
      </c>
      <c r="F5" s="31" t="s">
        <v>9</v>
      </c>
      <c r="G5" s="34" t="s">
        <v>10</v>
      </c>
      <c r="H5" s="31" t="s">
        <v>9</v>
      </c>
      <c r="I5" s="34" t="s">
        <v>10</v>
      </c>
      <c r="J5" s="31" t="s">
        <v>9</v>
      </c>
      <c r="K5" s="34" t="s">
        <v>10</v>
      </c>
      <c r="L5" s="31" t="s">
        <v>9</v>
      </c>
      <c r="M5" s="34" t="s">
        <v>10</v>
      </c>
      <c r="N5" s="31" t="s">
        <v>9</v>
      </c>
      <c r="O5" s="34" t="s">
        <v>10</v>
      </c>
      <c r="P5" s="31" t="s">
        <v>9</v>
      </c>
      <c r="Q5" s="34" t="s">
        <v>10</v>
      </c>
      <c r="R5" s="32" t="s">
        <v>7</v>
      </c>
    </row>
    <row r="6" spans="1:18" ht="12.75" customHeight="1">
      <c r="A6" s="1"/>
      <c r="B6" s="7"/>
      <c r="C6" s="8"/>
      <c r="D6" s="7"/>
      <c r="E6" s="8"/>
      <c r="F6" s="7"/>
      <c r="G6" s="8"/>
      <c r="H6" s="7"/>
      <c r="I6" s="8"/>
      <c r="J6" s="7"/>
      <c r="K6" s="8"/>
      <c r="L6" s="7"/>
      <c r="M6" s="45"/>
      <c r="N6" s="19"/>
      <c r="O6" s="45"/>
      <c r="P6" s="7"/>
      <c r="Q6" s="8"/>
      <c r="R6" s="9"/>
    </row>
    <row r="7" spans="1:18" s="11" customFormat="1" ht="12.75" customHeight="1">
      <c r="A7" s="1" t="s">
        <v>42</v>
      </c>
      <c r="B7" s="37">
        <v>41</v>
      </c>
      <c r="C7" s="40">
        <v>27</v>
      </c>
      <c r="D7" s="37">
        <v>5</v>
      </c>
      <c r="E7" s="40">
        <v>3</v>
      </c>
      <c r="F7" s="37">
        <v>2</v>
      </c>
      <c r="G7" s="40">
        <v>0</v>
      </c>
      <c r="H7" s="37">
        <v>1</v>
      </c>
      <c r="I7" s="40">
        <v>1</v>
      </c>
      <c r="J7" s="37">
        <v>0</v>
      </c>
      <c r="K7" s="40">
        <v>1</v>
      </c>
      <c r="L7" s="37">
        <v>8</v>
      </c>
      <c r="M7" s="40">
        <v>1</v>
      </c>
      <c r="N7" s="37">
        <v>2</v>
      </c>
      <c r="O7" s="40">
        <v>0</v>
      </c>
      <c r="P7" s="37">
        <f aca="true" t="shared" si="0" ref="P7:Q11">N7+L7+J7+H7+F7+D7+B7</f>
        <v>59</v>
      </c>
      <c r="Q7" s="38">
        <f t="shared" si="0"/>
        <v>33</v>
      </c>
      <c r="R7" s="39">
        <f>Q7+P7</f>
        <v>92</v>
      </c>
    </row>
    <row r="8" spans="1:18" s="11" customFormat="1" ht="12.75" customHeight="1">
      <c r="A8" s="1" t="s">
        <v>49</v>
      </c>
      <c r="B8" s="37">
        <v>38</v>
      </c>
      <c r="C8" s="40">
        <v>24</v>
      </c>
      <c r="D8" s="37">
        <v>5</v>
      </c>
      <c r="E8" s="40">
        <v>8</v>
      </c>
      <c r="F8" s="37">
        <v>2</v>
      </c>
      <c r="G8" s="40">
        <v>1</v>
      </c>
      <c r="H8" s="37">
        <v>1</v>
      </c>
      <c r="I8" s="40">
        <v>1</v>
      </c>
      <c r="J8" s="37">
        <v>0</v>
      </c>
      <c r="K8" s="40">
        <v>1</v>
      </c>
      <c r="L8" s="37">
        <v>7</v>
      </c>
      <c r="M8" s="40">
        <v>2</v>
      </c>
      <c r="N8" s="37">
        <v>2</v>
      </c>
      <c r="O8" s="40">
        <v>0</v>
      </c>
      <c r="P8" s="37">
        <f t="shared" si="0"/>
        <v>55</v>
      </c>
      <c r="Q8" s="38">
        <f t="shared" si="0"/>
        <v>37</v>
      </c>
      <c r="R8" s="39">
        <f>Q8+P8</f>
        <v>92</v>
      </c>
    </row>
    <row r="9" spans="1:18" s="11" customFormat="1" ht="12.75" customHeight="1">
      <c r="A9" s="1" t="s">
        <v>50</v>
      </c>
      <c r="B9" s="37">
        <v>20</v>
      </c>
      <c r="C9" s="40">
        <v>12</v>
      </c>
      <c r="D9" s="37">
        <v>2</v>
      </c>
      <c r="E9" s="40">
        <v>11</v>
      </c>
      <c r="F9" s="37">
        <v>1</v>
      </c>
      <c r="G9" s="40">
        <v>1</v>
      </c>
      <c r="H9" s="37">
        <v>1</v>
      </c>
      <c r="I9" s="40">
        <v>1</v>
      </c>
      <c r="J9" s="37">
        <v>0</v>
      </c>
      <c r="K9" s="40">
        <v>1</v>
      </c>
      <c r="L9" s="37">
        <v>0</v>
      </c>
      <c r="M9" s="40">
        <v>1</v>
      </c>
      <c r="N9" s="37">
        <v>1</v>
      </c>
      <c r="O9" s="40">
        <v>0</v>
      </c>
      <c r="P9" s="37">
        <f t="shared" si="0"/>
        <v>25</v>
      </c>
      <c r="Q9" s="38">
        <f t="shared" si="0"/>
        <v>27</v>
      </c>
      <c r="R9" s="39">
        <f>Q9+P9</f>
        <v>52</v>
      </c>
    </row>
    <row r="10" spans="1:18" s="11" customFormat="1" ht="12.75" customHeight="1">
      <c r="A10" s="1" t="s">
        <v>52</v>
      </c>
      <c r="B10" s="37">
        <v>21</v>
      </c>
      <c r="C10" s="40">
        <v>17</v>
      </c>
      <c r="D10" s="37">
        <v>3</v>
      </c>
      <c r="E10" s="40">
        <v>9</v>
      </c>
      <c r="F10" s="37">
        <v>2</v>
      </c>
      <c r="G10" s="40">
        <v>0</v>
      </c>
      <c r="H10" s="37">
        <v>2</v>
      </c>
      <c r="I10" s="40">
        <v>1</v>
      </c>
      <c r="J10" s="37">
        <v>0</v>
      </c>
      <c r="K10" s="40">
        <v>0</v>
      </c>
      <c r="L10" s="37">
        <v>1</v>
      </c>
      <c r="M10" s="40">
        <v>1</v>
      </c>
      <c r="N10" s="37">
        <v>0</v>
      </c>
      <c r="O10" s="40">
        <v>0</v>
      </c>
      <c r="P10" s="37">
        <f t="shared" si="0"/>
        <v>29</v>
      </c>
      <c r="Q10" s="40">
        <f t="shared" si="0"/>
        <v>28</v>
      </c>
      <c r="R10" s="39">
        <f>Q10+P10</f>
        <v>57</v>
      </c>
    </row>
    <row r="11" spans="1:18" s="11" customFormat="1" ht="12.75" customHeight="1">
      <c r="A11" s="1" t="s">
        <v>57</v>
      </c>
      <c r="B11" s="37">
        <v>11</v>
      </c>
      <c r="C11" s="40">
        <v>11</v>
      </c>
      <c r="D11" s="37">
        <v>1</v>
      </c>
      <c r="E11" s="40">
        <v>5</v>
      </c>
      <c r="F11" s="37">
        <v>1</v>
      </c>
      <c r="G11" s="40">
        <v>0</v>
      </c>
      <c r="H11" s="37">
        <v>1</v>
      </c>
      <c r="I11" s="40">
        <v>3</v>
      </c>
      <c r="J11" s="37">
        <v>0</v>
      </c>
      <c r="K11" s="40">
        <v>1</v>
      </c>
      <c r="L11" s="37">
        <v>2</v>
      </c>
      <c r="M11" s="40">
        <v>3</v>
      </c>
      <c r="N11" s="37">
        <v>0</v>
      </c>
      <c r="O11" s="40">
        <v>1</v>
      </c>
      <c r="P11" s="37">
        <f t="shared" si="0"/>
        <v>16</v>
      </c>
      <c r="Q11" s="40">
        <f t="shared" si="0"/>
        <v>24</v>
      </c>
      <c r="R11" s="39">
        <f>Q11+P11</f>
        <v>40</v>
      </c>
    </row>
    <row r="12" spans="2:19" ht="12.75" customHeight="1">
      <c r="B12" s="12"/>
      <c r="C12" s="21"/>
      <c r="D12" s="12"/>
      <c r="E12" s="21"/>
      <c r="F12" s="12"/>
      <c r="G12" s="21"/>
      <c r="H12" s="12"/>
      <c r="I12" s="21"/>
      <c r="J12" s="12"/>
      <c r="K12" s="21"/>
      <c r="L12" s="12"/>
      <c r="M12" s="21"/>
      <c r="N12" s="12"/>
      <c r="O12" s="21"/>
      <c r="P12" s="12"/>
      <c r="Q12" s="21"/>
      <c r="R12" s="14"/>
      <c r="S12"/>
    </row>
    <row r="13" ht="12.75" customHeight="1">
      <c r="S13"/>
    </row>
    <row r="14" ht="12.75" customHeight="1">
      <c r="S14"/>
    </row>
  </sheetData>
  <mergeCells count="1">
    <mergeCell ref="L4:M4"/>
  </mergeCells>
  <printOptions horizontalCentered="1"/>
  <pageMargins left="0.25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11"/>
  <sheetViews>
    <sheetView workbookViewId="0" topLeftCell="A1">
      <selection activeCell="A14" sqref="A14"/>
    </sheetView>
  </sheetViews>
  <sheetFormatPr defaultColWidth="9.140625" defaultRowHeight="12.75" customHeight="1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8" t="s">
        <v>31</v>
      </c>
      <c r="B1" s="11"/>
      <c r="C1" s="11"/>
      <c r="D1" s="11"/>
      <c r="E1" s="11"/>
      <c r="F1" s="11"/>
      <c r="G1" s="11"/>
      <c r="H1" s="11"/>
    </row>
    <row r="3" ht="12.75" customHeight="1">
      <c r="A3" s="1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42</v>
      </c>
      <c r="B6" s="9">
        <v>27</v>
      </c>
      <c r="C6" s="9">
        <f>+'PEN&amp;UND'!R7</f>
        <v>92</v>
      </c>
      <c r="D6" s="9">
        <v>86</v>
      </c>
    </row>
    <row r="7" spans="1:4" ht="12.75" customHeight="1">
      <c r="A7" s="1" t="s">
        <v>49</v>
      </c>
      <c r="B7" s="9">
        <v>23</v>
      </c>
      <c r="C7" s="9">
        <f>+'PEN&amp;UND'!R8</f>
        <v>92</v>
      </c>
      <c r="D7" s="9">
        <v>62</v>
      </c>
    </row>
    <row r="8" spans="1:4" ht="12.75" customHeight="1">
      <c r="A8" s="1" t="s">
        <v>50</v>
      </c>
      <c r="B8" s="9">
        <v>14</v>
      </c>
      <c r="C8" s="9">
        <f>+'PEN&amp;UND'!R9</f>
        <v>52</v>
      </c>
      <c r="D8" s="9">
        <v>43</v>
      </c>
    </row>
    <row r="9" spans="1:4" ht="12.75" customHeight="1">
      <c r="A9" s="1" t="s">
        <v>52</v>
      </c>
      <c r="B9" s="9">
        <v>14</v>
      </c>
      <c r="C9" s="9">
        <f>+'PEN&amp;UND'!R10</f>
        <v>57</v>
      </c>
      <c r="D9" s="9">
        <v>47</v>
      </c>
    </row>
    <row r="10" spans="1:4" ht="12.75" customHeight="1">
      <c r="A10" s="1" t="s">
        <v>57</v>
      </c>
      <c r="B10" s="9">
        <v>9</v>
      </c>
      <c r="C10" s="9">
        <f>+'PEN&amp;UND'!R11</f>
        <v>40</v>
      </c>
      <c r="D10" s="9">
        <v>30</v>
      </c>
    </row>
    <row r="11" spans="1:4" ht="12.75" customHeight="1">
      <c r="A11" s="16"/>
      <c r="B11" s="14"/>
      <c r="C11" s="14"/>
      <c r="D11" s="14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12"/>
  <sheetViews>
    <sheetView workbookViewId="0" topLeftCell="A1">
      <selection activeCell="A14" sqref="A14"/>
    </sheetView>
  </sheetViews>
  <sheetFormatPr defaultColWidth="9.140625" defaultRowHeight="10.5" customHeight="1"/>
  <cols>
    <col min="1" max="1" width="18.7109375" style="26" customWidth="1"/>
    <col min="2" max="2" width="7.28125" style="2" customWidth="1"/>
    <col min="3" max="3" width="7.00390625" style="2" bestFit="1" customWidth="1"/>
    <col min="4" max="14" width="7.28125" style="2" customWidth="1"/>
    <col min="15" max="15" width="7.00390625" style="2" bestFit="1" customWidth="1"/>
    <col min="16" max="16" width="7.28125" style="2" customWidth="1"/>
    <col min="17" max="17" width="7.00390625" style="2" bestFit="1" customWidth="1"/>
    <col min="18" max="18" width="6.140625" style="2" bestFit="1" customWidth="1"/>
    <col min="19" max="16384" width="9.140625" style="2" customWidth="1"/>
  </cols>
  <sheetData>
    <row r="1" ht="12.75" customHeight="1">
      <c r="A1" s="17" t="s">
        <v>0</v>
      </c>
    </row>
    <row r="2" ht="12.75" customHeight="1">
      <c r="A2" s="17"/>
    </row>
    <row r="3" spans="1:18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93" t="s">
        <v>6</v>
      </c>
      <c r="M3" s="95"/>
      <c r="N3" s="93" t="s">
        <v>38</v>
      </c>
      <c r="O3" s="94"/>
      <c r="P3" s="35" t="s">
        <v>7</v>
      </c>
      <c r="Q3" s="36"/>
      <c r="R3" s="30" t="s">
        <v>8</v>
      </c>
    </row>
    <row r="4" spans="1:18" s="26" customFormat="1" ht="12.75" customHeight="1">
      <c r="A4" s="1" t="s">
        <v>53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76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77"/>
      <c r="N5" s="3"/>
      <c r="O5" s="4"/>
      <c r="P5" s="3"/>
      <c r="Q5" s="4"/>
      <c r="R5" s="10"/>
    </row>
    <row r="6" spans="1:18" ht="12.75" customHeight="1">
      <c r="A6" s="1" t="s">
        <v>42</v>
      </c>
      <c r="B6" s="41">
        <v>16</v>
      </c>
      <c r="C6" s="42">
        <v>23</v>
      </c>
      <c r="D6" s="41">
        <v>0</v>
      </c>
      <c r="E6" s="42">
        <v>1</v>
      </c>
      <c r="F6" s="41">
        <v>0</v>
      </c>
      <c r="G6" s="42">
        <v>0</v>
      </c>
      <c r="H6" s="41">
        <v>2</v>
      </c>
      <c r="I6" s="42">
        <v>2</v>
      </c>
      <c r="J6" s="41">
        <v>0</v>
      </c>
      <c r="K6" s="42">
        <v>0</v>
      </c>
      <c r="L6" s="41">
        <v>2</v>
      </c>
      <c r="M6" s="42">
        <v>2</v>
      </c>
      <c r="N6" s="41">
        <v>0</v>
      </c>
      <c r="O6" s="43">
        <v>0</v>
      </c>
      <c r="P6" s="41">
        <f aca="true" t="shared" si="0" ref="P6:Q10">N6+L6+J6+H6+F6+D6+B6</f>
        <v>20</v>
      </c>
      <c r="Q6" s="42">
        <f t="shared" si="0"/>
        <v>28</v>
      </c>
      <c r="R6" s="44">
        <f>Q6+P6</f>
        <v>48</v>
      </c>
    </row>
    <row r="7" spans="1:18" ht="12.75" customHeight="1">
      <c r="A7" s="1" t="s">
        <v>49</v>
      </c>
      <c r="B7" s="41">
        <v>18</v>
      </c>
      <c r="C7" s="42">
        <v>19</v>
      </c>
      <c r="D7" s="41">
        <v>0</v>
      </c>
      <c r="E7" s="42">
        <v>6</v>
      </c>
      <c r="F7" s="41">
        <v>0</v>
      </c>
      <c r="G7" s="42">
        <v>0</v>
      </c>
      <c r="H7" s="41">
        <v>0</v>
      </c>
      <c r="I7" s="42">
        <v>2</v>
      </c>
      <c r="J7" s="41">
        <v>0</v>
      </c>
      <c r="K7" s="42">
        <v>0</v>
      </c>
      <c r="L7" s="41">
        <v>1</v>
      </c>
      <c r="M7" s="42">
        <v>0</v>
      </c>
      <c r="N7" s="41">
        <v>0</v>
      </c>
      <c r="O7" s="43">
        <v>0</v>
      </c>
      <c r="P7" s="41">
        <f t="shared" si="0"/>
        <v>19</v>
      </c>
      <c r="Q7" s="42">
        <f t="shared" si="0"/>
        <v>27</v>
      </c>
      <c r="R7" s="44">
        <f>Q7+P7</f>
        <v>46</v>
      </c>
    </row>
    <row r="8" spans="1:18" ht="12.75" customHeight="1">
      <c r="A8" s="1" t="s">
        <v>50</v>
      </c>
      <c r="B8" s="41">
        <v>15</v>
      </c>
      <c r="C8" s="42">
        <v>24</v>
      </c>
      <c r="D8" s="41">
        <v>0</v>
      </c>
      <c r="E8" s="42">
        <v>2</v>
      </c>
      <c r="F8" s="41">
        <v>2</v>
      </c>
      <c r="G8" s="42">
        <v>0</v>
      </c>
      <c r="H8" s="41">
        <v>0</v>
      </c>
      <c r="I8" s="42">
        <v>1</v>
      </c>
      <c r="J8" s="41">
        <v>0</v>
      </c>
      <c r="K8" s="42">
        <v>1</v>
      </c>
      <c r="L8" s="41">
        <v>0</v>
      </c>
      <c r="M8" s="42">
        <v>0</v>
      </c>
      <c r="N8" s="41">
        <v>0</v>
      </c>
      <c r="O8" s="43">
        <v>0</v>
      </c>
      <c r="P8" s="41">
        <f t="shared" si="0"/>
        <v>17</v>
      </c>
      <c r="Q8" s="42">
        <f t="shared" si="0"/>
        <v>28</v>
      </c>
      <c r="R8" s="44">
        <f>Q8+P8</f>
        <v>45</v>
      </c>
    </row>
    <row r="9" spans="1:18" ht="12.75" customHeight="1">
      <c r="A9" s="1" t="s">
        <v>52</v>
      </c>
      <c r="B9" s="41">
        <v>18</v>
      </c>
      <c r="C9" s="42">
        <v>21</v>
      </c>
      <c r="D9" s="41">
        <v>5</v>
      </c>
      <c r="E9" s="42">
        <v>1</v>
      </c>
      <c r="F9" s="41">
        <v>0</v>
      </c>
      <c r="G9" s="42">
        <v>1</v>
      </c>
      <c r="H9" s="41">
        <v>1</v>
      </c>
      <c r="I9" s="42">
        <v>0</v>
      </c>
      <c r="J9" s="41">
        <v>1</v>
      </c>
      <c r="K9" s="42">
        <v>1</v>
      </c>
      <c r="L9" s="41">
        <v>1</v>
      </c>
      <c r="M9" s="42">
        <v>1</v>
      </c>
      <c r="N9" s="41">
        <v>0</v>
      </c>
      <c r="O9" s="43">
        <v>0</v>
      </c>
      <c r="P9" s="41">
        <f t="shared" si="0"/>
        <v>26</v>
      </c>
      <c r="Q9" s="42">
        <f t="shared" si="0"/>
        <v>25</v>
      </c>
      <c r="R9" s="44">
        <f>Q9+P9</f>
        <v>51</v>
      </c>
    </row>
    <row r="10" spans="1:18" ht="12.75" customHeight="1">
      <c r="A10" s="1" t="s">
        <v>57</v>
      </c>
      <c r="B10" s="41">
        <v>12</v>
      </c>
      <c r="C10" s="42">
        <v>14</v>
      </c>
      <c r="D10" s="41">
        <v>1</v>
      </c>
      <c r="E10" s="42">
        <v>0</v>
      </c>
      <c r="F10" s="41">
        <v>0</v>
      </c>
      <c r="G10" s="42">
        <v>0</v>
      </c>
      <c r="H10" s="41">
        <v>0</v>
      </c>
      <c r="I10" s="42">
        <v>1</v>
      </c>
      <c r="J10" s="41">
        <v>0</v>
      </c>
      <c r="K10" s="42">
        <v>0</v>
      </c>
      <c r="L10" s="41">
        <v>0</v>
      </c>
      <c r="M10" s="42">
        <v>0</v>
      </c>
      <c r="N10" s="41">
        <v>0</v>
      </c>
      <c r="O10" s="43">
        <v>0</v>
      </c>
      <c r="P10" s="41">
        <f t="shared" si="0"/>
        <v>13</v>
      </c>
      <c r="Q10" s="42">
        <f t="shared" si="0"/>
        <v>15</v>
      </c>
      <c r="R10" s="44">
        <f>Q10+P10</f>
        <v>28</v>
      </c>
    </row>
    <row r="11" spans="1:18" ht="12.75" customHeight="1">
      <c r="A11" s="53"/>
      <c r="B11" s="54"/>
      <c r="C11" s="55"/>
      <c r="D11" s="54"/>
      <c r="E11" s="55"/>
      <c r="F11" s="54"/>
      <c r="G11" s="55"/>
      <c r="H11" s="54"/>
      <c r="I11" s="55"/>
      <c r="J11" s="54"/>
      <c r="K11" s="55"/>
      <c r="L11" s="54"/>
      <c r="M11" s="55"/>
      <c r="N11" s="54"/>
      <c r="O11" s="64"/>
      <c r="P11" s="54"/>
      <c r="Q11" s="55"/>
      <c r="R11" s="58"/>
    </row>
    <row r="12" spans="1:18" ht="12.75" customHeight="1">
      <c r="A12" s="5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s="26" customFormat="1" ht="12.75" customHeight="1">
      <c r="A13" s="16"/>
      <c r="B13" s="35" t="s">
        <v>1</v>
      </c>
      <c r="C13" s="36"/>
      <c r="D13" s="35" t="s">
        <v>2</v>
      </c>
      <c r="E13" s="36"/>
      <c r="F13" s="35" t="s">
        <v>3</v>
      </c>
      <c r="G13" s="36"/>
      <c r="H13" s="35" t="s">
        <v>4</v>
      </c>
      <c r="I13" s="36"/>
      <c r="J13" s="35" t="s">
        <v>5</v>
      </c>
      <c r="K13" s="36"/>
      <c r="L13" s="93" t="s">
        <v>6</v>
      </c>
      <c r="M13" s="94"/>
      <c r="N13" s="93" t="s">
        <v>38</v>
      </c>
      <c r="O13" s="94"/>
      <c r="P13" s="35" t="s">
        <v>7</v>
      </c>
      <c r="Q13" s="36"/>
      <c r="R13" s="30" t="s">
        <v>8</v>
      </c>
    </row>
    <row r="14" spans="1:18" s="26" customFormat="1" ht="12.75" customHeight="1">
      <c r="A14" s="53" t="s">
        <v>54</v>
      </c>
      <c r="B14" s="31" t="s">
        <v>9</v>
      </c>
      <c r="C14" s="34" t="s">
        <v>10</v>
      </c>
      <c r="D14" s="31" t="s">
        <v>9</v>
      </c>
      <c r="E14" s="34" t="s">
        <v>10</v>
      </c>
      <c r="F14" s="31" t="s">
        <v>9</v>
      </c>
      <c r="G14" s="34" t="s">
        <v>10</v>
      </c>
      <c r="H14" s="31" t="s">
        <v>9</v>
      </c>
      <c r="I14" s="34" t="s">
        <v>10</v>
      </c>
      <c r="J14" s="31" t="s">
        <v>9</v>
      </c>
      <c r="K14" s="34" t="s">
        <v>10</v>
      </c>
      <c r="L14" s="31" t="s">
        <v>9</v>
      </c>
      <c r="M14" s="34" t="s">
        <v>10</v>
      </c>
      <c r="N14" s="31" t="s">
        <v>9</v>
      </c>
      <c r="O14" s="34" t="s">
        <v>10</v>
      </c>
      <c r="P14" s="31" t="s">
        <v>9</v>
      </c>
      <c r="Q14" s="34" t="s">
        <v>10</v>
      </c>
      <c r="R14" s="32" t="s">
        <v>7</v>
      </c>
    </row>
    <row r="15" spans="1:18" ht="12.75" customHeight="1">
      <c r="A15" s="16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77"/>
      <c r="O15" s="77"/>
      <c r="P15" s="3"/>
      <c r="Q15" s="4"/>
      <c r="R15" s="10"/>
    </row>
    <row r="16" spans="1:18" ht="12.75" customHeight="1">
      <c r="A16" s="1" t="s">
        <v>42</v>
      </c>
      <c r="B16" s="41">
        <v>3</v>
      </c>
      <c r="C16" s="43">
        <v>8</v>
      </c>
      <c r="D16" s="41">
        <v>0</v>
      </c>
      <c r="E16" s="43">
        <v>0</v>
      </c>
      <c r="F16" s="41">
        <v>0</v>
      </c>
      <c r="G16" s="43">
        <v>0</v>
      </c>
      <c r="H16" s="41">
        <v>0</v>
      </c>
      <c r="I16" s="43">
        <v>0</v>
      </c>
      <c r="J16" s="41">
        <v>0</v>
      </c>
      <c r="K16" s="43">
        <v>0</v>
      </c>
      <c r="L16" s="41">
        <v>0</v>
      </c>
      <c r="M16" s="43">
        <v>0</v>
      </c>
      <c r="N16" s="42">
        <v>0</v>
      </c>
      <c r="O16" s="42">
        <v>0</v>
      </c>
      <c r="P16" s="41">
        <f aca="true" t="shared" si="1" ref="P16:Q20">N16+L16+J16+H16+F16+D16+B16</f>
        <v>3</v>
      </c>
      <c r="Q16" s="43">
        <f t="shared" si="1"/>
        <v>8</v>
      </c>
      <c r="R16" s="44">
        <f>Q16+P16</f>
        <v>11</v>
      </c>
    </row>
    <row r="17" spans="1:18" ht="12.75" customHeight="1">
      <c r="A17" s="1" t="s">
        <v>49</v>
      </c>
      <c r="B17" s="41">
        <v>2</v>
      </c>
      <c r="C17" s="43">
        <v>1</v>
      </c>
      <c r="D17" s="41">
        <v>0</v>
      </c>
      <c r="E17" s="43">
        <v>1</v>
      </c>
      <c r="F17" s="41">
        <v>0</v>
      </c>
      <c r="G17" s="43">
        <v>1</v>
      </c>
      <c r="H17" s="41">
        <v>1</v>
      </c>
      <c r="I17" s="43">
        <v>1</v>
      </c>
      <c r="J17" s="41">
        <v>0</v>
      </c>
      <c r="K17" s="43">
        <v>0</v>
      </c>
      <c r="L17" s="41">
        <v>1</v>
      </c>
      <c r="M17" s="43">
        <v>1</v>
      </c>
      <c r="N17" s="42">
        <v>0</v>
      </c>
      <c r="O17" s="42">
        <v>0</v>
      </c>
      <c r="P17" s="41">
        <f t="shared" si="1"/>
        <v>4</v>
      </c>
      <c r="Q17" s="43">
        <f t="shared" si="1"/>
        <v>5</v>
      </c>
      <c r="R17" s="44">
        <f>Q17+P17</f>
        <v>9</v>
      </c>
    </row>
    <row r="18" spans="1:18" ht="12.75" customHeight="1">
      <c r="A18" s="1" t="s">
        <v>50</v>
      </c>
      <c r="B18" s="41">
        <v>7</v>
      </c>
      <c r="C18" s="43">
        <v>8</v>
      </c>
      <c r="D18" s="41">
        <v>0</v>
      </c>
      <c r="E18" s="43">
        <v>0</v>
      </c>
      <c r="F18" s="41">
        <v>0</v>
      </c>
      <c r="G18" s="43">
        <v>0</v>
      </c>
      <c r="H18" s="41">
        <v>0</v>
      </c>
      <c r="I18" s="43">
        <v>0</v>
      </c>
      <c r="J18" s="41">
        <v>0</v>
      </c>
      <c r="K18" s="43">
        <v>0</v>
      </c>
      <c r="L18" s="41">
        <v>0</v>
      </c>
      <c r="M18" s="43">
        <v>3</v>
      </c>
      <c r="N18" s="42">
        <v>0</v>
      </c>
      <c r="O18" s="42">
        <v>0</v>
      </c>
      <c r="P18" s="41">
        <f t="shared" si="1"/>
        <v>7</v>
      </c>
      <c r="Q18" s="43">
        <f t="shared" si="1"/>
        <v>11</v>
      </c>
      <c r="R18" s="44">
        <f>Q18+P18</f>
        <v>18</v>
      </c>
    </row>
    <row r="19" spans="1:18" ht="12.75" customHeight="1">
      <c r="A19" s="1" t="s">
        <v>52</v>
      </c>
      <c r="B19" s="41">
        <v>5</v>
      </c>
      <c r="C19" s="43">
        <v>4</v>
      </c>
      <c r="D19" s="41">
        <v>1</v>
      </c>
      <c r="E19" s="43">
        <v>1</v>
      </c>
      <c r="F19" s="41">
        <v>0</v>
      </c>
      <c r="G19" s="43">
        <v>0</v>
      </c>
      <c r="H19" s="41">
        <v>0</v>
      </c>
      <c r="I19" s="43">
        <v>0</v>
      </c>
      <c r="J19" s="41">
        <v>0</v>
      </c>
      <c r="K19" s="43">
        <v>0</v>
      </c>
      <c r="L19" s="41">
        <v>1</v>
      </c>
      <c r="M19" s="43">
        <v>1</v>
      </c>
      <c r="N19" s="42">
        <v>0</v>
      </c>
      <c r="O19" s="42">
        <v>0</v>
      </c>
      <c r="P19" s="41">
        <f t="shared" si="1"/>
        <v>7</v>
      </c>
      <c r="Q19" s="43">
        <f t="shared" si="1"/>
        <v>6</v>
      </c>
      <c r="R19" s="44">
        <f>Q19+P19</f>
        <v>13</v>
      </c>
    </row>
    <row r="20" spans="1:18" ht="12.75" customHeight="1">
      <c r="A20" s="1" t="s">
        <v>57</v>
      </c>
      <c r="B20" s="41">
        <v>2</v>
      </c>
      <c r="C20" s="43">
        <v>4</v>
      </c>
      <c r="D20" s="41">
        <v>0</v>
      </c>
      <c r="E20" s="43">
        <v>2</v>
      </c>
      <c r="F20" s="41">
        <v>0</v>
      </c>
      <c r="G20" s="43">
        <v>0</v>
      </c>
      <c r="H20" s="41">
        <v>0</v>
      </c>
      <c r="I20" s="43">
        <v>0</v>
      </c>
      <c r="J20" s="41">
        <v>0</v>
      </c>
      <c r="K20" s="43">
        <v>0</v>
      </c>
      <c r="L20" s="41">
        <v>0</v>
      </c>
      <c r="M20" s="43">
        <v>0</v>
      </c>
      <c r="N20" s="42">
        <v>0</v>
      </c>
      <c r="O20" s="42">
        <v>0</v>
      </c>
      <c r="P20" s="41">
        <f t="shared" si="1"/>
        <v>2</v>
      </c>
      <c r="Q20" s="43">
        <f t="shared" si="1"/>
        <v>6</v>
      </c>
      <c r="R20" s="44">
        <f>Q20+P20</f>
        <v>8</v>
      </c>
    </row>
    <row r="21" spans="2:18" ht="12.75" customHeight="1"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21"/>
      <c r="O21" s="21"/>
      <c r="P21" s="12"/>
      <c r="Q21" s="13"/>
      <c r="R21" s="14"/>
    </row>
    <row r="22" ht="12.75" customHeight="1">
      <c r="A22" s="16"/>
    </row>
    <row r="23" ht="12.75" customHeight="1">
      <c r="A23" s="28" t="s">
        <v>13</v>
      </c>
    </row>
    <row r="24" spans="1:18" s="26" customFormat="1" ht="12.75" customHeight="1">
      <c r="A24" s="1" t="s">
        <v>11</v>
      </c>
      <c r="B24" s="35" t="s">
        <v>1</v>
      </c>
      <c r="C24" s="36"/>
      <c r="D24" s="35" t="s">
        <v>2</v>
      </c>
      <c r="E24" s="36"/>
      <c r="F24" s="35" t="s">
        <v>3</v>
      </c>
      <c r="G24" s="36"/>
      <c r="H24" s="35" t="s">
        <v>4</v>
      </c>
      <c r="I24" s="36"/>
      <c r="J24" s="35" t="s">
        <v>5</v>
      </c>
      <c r="K24" s="36"/>
      <c r="L24" s="93" t="s">
        <v>6</v>
      </c>
      <c r="M24" s="94"/>
      <c r="N24" s="93" t="s">
        <v>38</v>
      </c>
      <c r="O24" s="94"/>
      <c r="P24" s="35" t="s">
        <v>7</v>
      </c>
      <c r="Q24" s="36"/>
      <c r="R24" s="30" t="s">
        <v>8</v>
      </c>
    </row>
    <row r="25" spans="1:18" s="26" customFormat="1" ht="12.75" customHeight="1">
      <c r="A25" s="1" t="s">
        <v>12</v>
      </c>
      <c r="B25" s="31" t="s">
        <v>9</v>
      </c>
      <c r="C25" s="34" t="s">
        <v>10</v>
      </c>
      <c r="D25" s="31" t="s">
        <v>9</v>
      </c>
      <c r="E25" s="34" t="s">
        <v>10</v>
      </c>
      <c r="F25" s="31" t="s">
        <v>9</v>
      </c>
      <c r="G25" s="34" t="s">
        <v>10</v>
      </c>
      <c r="H25" s="31" t="s">
        <v>9</v>
      </c>
      <c r="I25" s="34" t="s">
        <v>10</v>
      </c>
      <c r="J25" s="31" t="s">
        <v>9</v>
      </c>
      <c r="K25" s="34" t="s">
        <v>10</v>
      </c>
      <c r="L25" s="31" t="s">
        <v>9</v>
      </c>
      <c r="M25" s="34" t="s">
        <v>10</v>
      </c>
      <c r="N25" s="31" t="s">
        <v>9</v>
      </c>
      <c r="O25" s="34" t="s">
        <v>10</v>
      </c>
      <c r="P25" s="31" t="s">
        <v>9</v>
      </c>
      <c r="Q25" s="34" t="s">
        <v>10</v>
      </c>
      <c r="R25" s="32" t="s">
        <v>7</v>
      </c>
    </row>
    <row r="26" spans="1:18" s="26" customFormat="1" ht="12.75" customHeight="1">
      <c r="A26" s="1"/>
      <c r="B26" s="49"/>
      <c r="C26" s="50"/>
      <c r="D26" s="49"/>
      <c r="E26" s="50"/>
      <c r="F26" s="49"/>
      <c r="G26" s="50"/>
      <c r="H26" s="49"/>
      <c r="I26" s="50"/>
      <c r="J26" s="49"/>
      <c r="K26" s="50"/>
      <c r="L26" s="49"/>
      <c r="M26" s="50"/>
      <c r="N26" s="15"/>
      <c r="O26" s="78"/>
      <c r="P26" s="15"/>
      <c r="Q26" s="50"/>
      <c r="R26" s="51"/>
    </row>
    <row r="27" spans="1:18" ht="12.75" customHeight="1">
      <c r="A27" s="1" t="s">
        <v>42</v>
      </c>
      <c r="B27" s="41">
        <v>59</v>
      </c>
      <c r="C27" s="43">
        <v>106</v>
      </c>
      <c r="D27" s="41">
        <v>9</v>
      </c>
      <c r="E27" s="43">
        <v>27</v>
      </c>
      <c r="F27" s="42">
        <v>0</v>
      </c>
      <c r="G27" s="43">
        <v>2</v>
      </c>
      <c r="H27" s="42">
        <v>2</v>
      </c>
      <c r="I27" s="43">
        <v>4</v>
      </c>
      <c r="J27" s="42">
        <v>0</v>
      </c>
      <c r="K27" s="43">
        <v>2</v>
      </c>
      <c r="L27" s="42">
        <v>2</v>
      </c>
      <c r="M27" s="43">
        <v>2</v>
      </c>
      <c r="N27" s="42">
        <v>1</v>
      </c>
      <c r="O27" s="43">
        <v>0</v>
      </c>
      <c r="P27" s="42">
        <f aca="true" t="shared" si="2" ref="P27:Q31">N27+L27+J27+H27+F27+D27+B27</f>
        <v>73</v>
      </c>
      <c r="Q27" s="42">
        <f t="shared" si="2"/>
        <v>143</v>
      </c>
      <c r="R27" s="44">
        <f>Q27+P27</f>
        <v>216</v>
      </c>
    </row>
    <row r="28" spans="1:18" ht="12.75" customHeight="1">
      <c r="A28" s="1" t="s">
        <v>49</v>
      </c>
      <c r="B28" s="41">
        <v>63</v>
      </c>
      <c r="C28" s="43">
        <v>95</v>
      </c>
      <c r="D28" s="41">
        <v>15</v>
      </c>
      <c r="E28" s="43">
        <v>26</v>
      </c>
      <c r="F28" s="42">
        <v>4</v>
      </c>
      <c r="G28" s="43">
        <v>1</v>
      </c>
      <c r="H28" s="42">
        <v>1</v>
      </c>
      <c r="I28" s="43">
        <v>2</v>
      </c>
      <c r="J28" s="42">
        <v>0</v>
      </c>
      <c r="K28" s="43">
        <v>3</v>
      </c>
      <c r="L28" s="42">
        <v>0</v>
      </c>
      <c r="M28" s="43">
        <v>0</v>
      </c>
      <c r="N28" s="42">
        <v>0</v>
      </c>
      <c r="O28" s="43">
        <v>0</v>
      </c>
      <c r="P28" s="42">
        <f t="shared" si="2"/>
        <v>83</v>
      </c>
      <c r="Q28" s="42">
        <f t="shared" si="2"/>
        <v>127</v>
      </c>
      <c r="R28" s="44">
        <f>Q28+P28</f>
        <v>210</v>
      </c>
    </row>
    <row r="29" spans="1:18" ht="12.75" customHeight="1">
      <c r="A29" s="1" t="s">
        <v>50</v>
      </c>
      <c r="B29" s="41">
        <v>59</v>
      </c>
      <c r="C29" s="43">
        <v>89</v>
      </c>
      <c r="D29" s="41">
        <v>14</v>
      </c>
      <c r="E29" s="43">
        <v>19</v>
      </c>
      <c r="F29" s="42">
        <v>4</v>
      </c>
      <c r="G29" s="43">
        <v>0</v>
      </c>
      <c r="H29" s="42">
        <v>3</v>
      </c>
      <c r="I29" s="43">
        <v>2</v>
      </c>
      <c r="J29" s="42">
        <v>1</v>
      </c>
      <c r="K29" s="43">
        <v>4</v>
      </c>
      <c r="L29" s="42">
        <v>0</v>
      </c>
      <c r="M29" s="43">
        <v>2</v>
      </c>
      <c r="N29" s="42">
        <v>0</v>
      </c>
      <c r="O29" s="43">
        <v>1</v>
      </c>
      <c r="P29" s="42">
        <f t="shared" si="2"/>
        <v>81</v>
      </c>
      <c r="Q29" s="42">
        <f t="shared" si="2"/>
        <v>117</v>
      </c>
      <c r="R29" s="44">
        <f>Q29+P29</f>
        <v>198</v>
      </c>
    </row>
    <row r="30" spans="1:18" ht="12.75" customHeight="1">
      <c r="A30" s="1" t="s">
        <v>52</v>
      </c>
      <c r="B30" s="41">
        <v>52</v>
      </c>
      <c r="C30" s="43">
        <v>93</v>
      </c>
      <c r="D30" s="41">
        <v>12</v>
      </c>
      <c r="E30" s="43">
        <v>33</v>
      </c>
      <c r="F30" s="42">
        <v>1</v>
      </c>
      <c r="G30" s="43">
        <v>0</v>
      </c>
      <c r="H30" s="42">
        <v>3</v>
      </c>
      <c r="I30" s="43">
        <v>3</v>
      </c>
      <c r="J30" s="42">
        <v>1</v>
      </c>
      <c r="K30" s="43">
        <v>2</v>
      </c>
      <c r="L30" s="42">
        <v>2</v>
      </c>
      <c r="M30" s="43">
        <v>2</v>
      </c>
      <c r="N30" s="42">
        <v>0</v>
      </c>
      <c r="O30" s="43">
        <v>3</v>
      </c>
      <c r="P30" s="42">
        <f t="shared" si="2"/>
        <v>71</v>
      </c>
      <c r="Q30" s="42">
        <f t="shared" si="2"/>
        <v>136</v>
      </c>
      <c r="R30" s="44">
        <f>Q30+P30</f>
        <v>207</v>
      </c>
    </row>
    <row r="31" spans="1:18" ht="12.75" customHeight="1">
      <c r="A31" s="1" t="s">
        <v>57</v>
      </c>
      <c r="B31" s="41">
        <v>58</v>
      </c>
      <c r="C31" s="43">
        <v>102</v>
      </c>
      <c r="D31" s="41">
        <v>14</v>
      </c>
      <c r="E31" s="43">
        <v>26</v>
      </c>
      <c r="F31" s="42">
        <v>1</v>
      </c>
      <c r="G31" s="43">
        <v>1</v>
      </c>
      <c r="H31" s="42">
        <v>4</v>
      </c>
      <c r="I31" s="43">
        <v>6</v>
      </c>
      <c r="J31" s="42">
        <v>0</v>
      </c>
      <c r="K31" s="43">
        <v>1</v>
      </c>
      <c r="L31" s="42">
        <v>4</v>
      </c>
      <c r="M31" s="43">
        <v>2</v>
      </c>
      <c r="N31" s="42">
        <v>1</v>
      </c>
      <c r="O31" s="43">
        <v>1</v>
      </c>
      <c r="P31" s="42">
        <f t="shared" si="2"/>
        <v>82</v>
      </c>
      <c r="Q31" s="42">
        <f t="shared" si="2"/>
        <v>139</v>
      </c>
      <c r="R31" s="44">
        <f>Q31+P31</f>
        <v>221</v>
      </c>
    </row>
    <row r="32" spans="1:18" ht="12.75" customHeight="1">
      <c r="A32" s="1"/>
      <c r="B32" s="12"/>
      <c r="C32" s="13"/>
      <c r="D32" s="12"/>
      <c r="E32" s="13"/>
      <c r="F32" s="21"/>
      <c r="G32" s="13"/>
      <c r="H32" s="21"/>
      <c r="I32" s="13"/>
      <c r="J32" s="21"/>
      <c r="K32" s="13"/>
      <c r="L32" s="21"/>
      <c r="M32" s="13"/>
      <c r="N32" s="21"/>
      <c r="O32" s="13"/>
      <c r="P32" s="21"/>
      <c r="Q32" s="13"/>
      <c r="R32" s="13"/>
    </row>
    <row r="33" spans="1:18" ht="10.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ht="12.75" customHeight="1">
      <c r="A34" s="28" t="s">
        <v>17</v>
      </c>
    </row>
    <row r="35" spans="1:18" s="26" customFormat="1" ht="12.75" customHeight="1">
      <c r="A35" s="1" t="s">
        <v>11</v>
      </c>
      <c r="B35" s="35" t="s">
        <v>1</v>
      </c>
      <c r="C35" s="36"/>
      <c r="D35" s="35" t="s">
        <v>2</v>
      </c>
      <c r="E35" s="36"/>
      <c r="F35" s="35" t="s">
        <v>3</v>
      </c>
      <c r="G35" s="36"/>
      <c r="H35" s="35" t="s">
        <v>4</v>
      </c>
      <c r="I35" s="36"/>
      <c r="J35" s="35" t="s">
        <v>5</v>
      </c>
      <c r="K35" s="36"/>
      <c r="L35" s="93" t="s">
        <v>6</v>
      </c>
      <c r="M35" s="94"/>
      <c r="N35" s="93" t="s">
        <v>38</v>
      </c>
      <c r="O35" s="94"/>
      <c r="P35" s="35" t="s">
        <v>7</v>
      </c>
      <c r="Q35" s="36"/>
      <c r="R35" s="30" t="s">
        <v>8</v>
      </c>
    </row>
    <row r="36" spans="1:18" s="26" customFormat="1" ht="12.75" customHeight="1">
      <c r="A36" s="1" t="s">
        <v>12</v>
      </c>
      <c r="B36" s="31" t="s">
        <v>9</v>
      </c>
      <c r="C36" s="34" t="s">
        <v>10</v>
      </c>
      <c r="D36" s="31" t="s">
        <v>9</v>
      </c>
      <c r="E36" s="34" t="s">
        <v>10</v>
      </c>
      <c r="F36" s="31" t="s">
        <v>9</v>
      </c>
      <c r="G36" s="34" t="s">
        <v>10</v>
      </c>
      <c r="H36" s="31" t="s">
        <v>9</v>
      </c>
      <c r="I36" s="34" t="s">
        <v>10</v>
      </c>
      <c r="J36" s="31" t="s">
        <v>9</v>
      </c>
      <c r="K36" s="34" t="s">
        <v>10</v>
      </c>
      <c r="L36" s="31" t="s">
        <v>9</v>
      </c>
      <c r="M36" s="34" t="s">
        <v>10</v>
      </c>
      <c r="N36" s="31" t="s">
        <v>9</v>
      </c>
      <c r="O36" s="34" t="s">
        <v>10</v>
      </c>
      <c r="P36" s="31" t="s">
        <v>9</v>
      </c>
      <c r="Q36" s="34" t="s">
        <v>10</v>
      </c>
      <c r="R36" s="32" t="s">
        <v>7</v>
      </c>
    </row>
    <row r="37" spans="1:18" ht="12.75" customHeight="1">
      <c r="A37" s="1"/>
      <c r="B37" s="7"/>
      <c r="C37" s="8"/>
      <c r="D37" s="7"/>
      <c r="E37" s="8"/>
      <c r="F37" s="7"/>
      <c r="G37" s="8"/>
      <c r="H37" s="7"/>
      <c r="I37" s="8"/>
      <c r="J37" s="7"/>
      <c r="K37" s="8"/>
      <c r="L37" s="7"/>
      <c r="M37" s="8"/>
      <c r="N37" s="45"/>
      <c r="O37" s="20"/>
      <c r="P37" s="45"/>
      <c r="Q37" s="8"/>
      <c r="R37" s="9"/>
    </row>
    <row r="38" spans="1:18" ht="12.75" customHeight="1">
      <c r="A38" s="1" t="s">
        <v>42</v>
      </c>
      <c r="B38" s="41">
        <v>19</v>
      </c>
      <c r="C38" s="43">
        <v>15</v>
      </c>
      <c r="D38" s="41">
        <v>0</v>
      </c>
      <c r="E38" s="43">
        <v>1</v>
      </c>
      <c r="F38" s="41">
        <v>0</v>
      </c>
      <c r="G38" s="43">
        <v>1</v>
      </c>
      <c r="H38" s="41">
        <v>1</v>
      </c>
      <c r="I38" s="43">
        <v>2</v>
      </c>
      <c r="J38" s="41">
        <v>0</v>
      </c>
      <c r="K38" s="43">
        <v>0</v>
      </c>
      <c r="L38" s="41">
        <v>0</v>
      </c>
      <c r="M38" s="43">
        <v>3</v>
      </c>
      <c r="N38" s="42">
        <v>0</v>
      </c>
      <c r="O38" s="43">
        <v>0</v>
      </c>
      <c r="P38" s="42">
        <f aca="true" t="shared" si="3" ref="P38:Q42">N38+L38+J38+H38+F38+D38+B38</f>
        <v>20</v>
      </c>
      <c r="Q38" s="42">
        <f t="shared" si="3"/>
        <v>22</v>
      </c>
      <c r="R38" s="44">
        <f>Q38+P38</f>
        <v>42</v>
      </c>
    </row>
    <row r="39" spans="1:18" ht="12.75" customHeight="1">
      <c r="A39" s="1" t="s">
        <v>49</v>
      </c>
      <c r="B39" s="41">
        <v>13</v>
      </c>
      <c r="C39" s="43">
        <v>14</v>
      </c>
      <c r="D39" s="41">
        <v>1</v>
      </c>
      <c r="E39" s="43">
        <v>0</v>
      </c>
      <c r="F39" s="41">
        <v>0</v>
      </c>
      <c r="G39" s="43">
        <v>1</v>
      </c>
      <c r="H39" s="41">
        <v>0</v>
      </c>
      <c r="I39" s="43">
        <v>0</v>
      </c>
      <c r="J39" s="41">
        <v>0</v>
      </c>
      <c r="K39" s="43">
        <v>0</v>
      </c>
      <c r="L39" s="41">
        <v>1</v>
      </c>
      <c r="M39" s="43">
        <v>4</v>
      </c>
      <c r="N39" s="42">
        <v>0</v>
      </c>
      <c r="O39" s="43">
        <v>0</v>
      </c>
      <c r="P39" s="42">
        <f t="shared" si="3"/>
        <v>15</v>
      </c>
      <c r="Q39" s="42">
        <f t="shared" si="3"/>
        <v>19</v>
      </c>
      <c r="R39" s="44">
        <f>Q39+P39</f>
        <v>34</v>
      </c>
    </row>
    <row r="40" spans="1:18" ht="12.75" customHeight="1">
      <c r="A40" s="1" t="s">
        <v>50</v>
      </c>
      <c r="B40" s="41">
        <v>12</v>
      </c>
      <c r="C40" s="43">
        <v>19</v>
      </c>
      <c r="D40" s="41">
        <v>1</v>
      </c>
      <c r="E40" s="43">
        <v>3</v>
      </c>
      <c r="F40" s="42">
        <v>0</v>
      </c>
      <c r="G40" s="43">
        <v>0</v>
      </c>
      <c r="H40" s="42">
        <v>0</v>
      </c>
      <c r="I40" s="43">
        <v>0</v>
      </c>
      <c r="J40" s="42">
        <v>0</v>
      </c>
      <c r="K40" s="43">
        <v>0</v>
      </c>
      <c r="L40" s="42">
        <v>0</v>
      </c>
      <c r="M40" s="43">
        <v>2</v>
      </c>
      <c r="N40" s="42">
        <v>1</v>
      </c>
      <c r="O40" s="43">
        <v>0</v>
      </c>
      <c r="P40" s="42">
        <f t="shared" si="3"/>
        <v>14</v>
      </c>
      <c r="Q40" s="42">
        <f t="shared" si="3"/>
        <v>24</v>
      </c>
      <c r="R40" s="44">
        <f>Q40+P40</f>
        <v>38</v>
      </c>
    </row>
    <row r="41" spans="1:18" ht="12.75" customHeight="1">
      <c r="A41" s="1" t="s">
        <v>52</v>
      </c>
      <c r="B41" s="41">
        <v>13</v>
      </c>
      <c r="C41" s="43">
        <v>15</v>
      </c>
      <c r="D41" s="41">
        <v>2</v>
      </c>
      <c r="E41" s="43">
        <v>3</v>
      </c>
      <c r="F41" s="42">
        <v>0</v>
      </c>
      <c r="G41" s="43">
        <v>0</v>
      </c>
      <c r="H41" s="42">
        <v>0</v>
      </c>
      <c r="I41" s="43">
        <v>0</v>
      </c>
      <c r="J41" s="42">
        <v>0</v>
      </c>
      <c r="K41" s="43">
        <v>0</v>
      </c>
      <c r="L41" s="42">
        <v>0</v>
      </c>
      <c r="M41" s="43">
        <v>1</v>
      </c>
      <c r="N41" s="42">
        <v>0</v>
      </c>
      <c r="O41" s="43">
        <v>0</v>
      </c>
      <c r="P41" s="42">
        <f t="shared" si="3"/>
        <v>15</v>
      </c>
      <c r="Q41" s="42">
        <f t="shared" si="3"/>
        <v>19</v>
      </c>
      <c r="R41" s="44">
        <f>Q41+P41</f>
        <v>34</v>
      </c>
    </row>
    <row r="42" spans="1:18" ht="12.75" customHeight="1">
      <c r="A42" s="1" t="s">
        <v>57</v>
      </c>
      <c r="B42" s="41">
        <v>19</v>
      </c>
      <c r="C42" s="43">
        <v>19</v>
      </c>
      <c r="D42" s="41">
        <v>2</v>
      </c>
      <c r="E42" s="43">
        <v>2</v>
      </c>
      <c r="F42" s="42">
        <v>0</v>
      </c>
      <c r="G42" s="43">
        <v>0</v>
      </c>
      <c r="H42" s="42">
        <v>0</v>
      </c>
      <c r="I42" s="43">
        <v>1</v>
      </c>
      <c r="J42" s="42">
        <v>0</v>
      </c>
      <c r="K42" s="43">
        <v>0</v>
      </c>
      <c r="L42" s="42">
        <v>1</v>
      </c>
      <c r="M42" s="43">
        <v>2</v>
      </c>
      <c r="N42" s="42">
        <v>0</v>
      </c>
      <c r="O42" s="43">
        <v>1</v>
      </c>
      <c r="P42" s="42">
        <f t="shared" si="3"/>
        <v>22</v>
      </c>
      <c r="Q42" s="42">
        <f t="shared" si="3"/>
        <v>25</v>
      </c>
      <c r="R42" s="44">
        <f>Q42+P42</f>
        <v>47</v>
      </c>
    </row>
    <row r="43" spans="1:18" ht="12.75" customHeight="1">
      <c r="A43" s="1"/>
      <c r="B43" s="12"/>
      <c r="C43" s="13"/>
      <c r="D43" s="12"/>
      <c r="E43" s="13"/>
      <c r="F43" s="21"/>
      <c r="G43" s="13"/>
      <c r="H43" s="21"/>
      <c r="I43" s="13"/>
      <c r="J43" s="21"/>
      <c r="K43" s="13"/>
      <c r="L43" s="21"/>
      <c r="M43" s="13"/>
      <c r="N43" s="21"/>
      <c r="O43" s="13"/>
      <c r="P43" s="21"/>
      <c r="Q43" s="13"/>
      <c r="R43" s="13"/>
    </row>
    <row r="44" spans="1:18" ht="10.5" customHeight="1">
      <c r="A44" s="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ht="10.5" customHeight="1">
      <c r="A45" s="73"/>
    </row>
    <row r="46" ht="10.5" customHeight="1">
      <c r="A46" s="73" t="s">
        <v>58</v>
      </c>
    </row>
    <row r="135" spans="1:18" s="11" customFormat="1" ht="10.5" customHeight="1">
      <c r="A135" s="2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57" spans="1:18" s="11" customFormat="1" ht="10.5" customHeight="1">
      <c r="A157" s="2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79" spans="1:18" s="11" customFormat="1" ht="10.5" customHeight="1">
      <c r="A179" s="2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201" spans="1:18" s="11" customFormat="1" ht="10.5" customHeight="1">
      <c r="A201" s="2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12" spans="1:18" s="11" customFormat="1" ht="10.5" customHeight="1">
      <c r="A212" s="2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</sheetData>
  <mergeCells count="8">
    <mergeCell ref="N3:O3"/>
    <mergeCell ref="N13:O13"/>
    <mergeCell ref="N24:O24"/>
    <mergeCell ref="N35:O35"/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orientation="landscape" scale="81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4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9" width="13.7109375" style="2" customWidth="1"/>
    <col min="10" max="16384" width="9.140625" style="2" customWidth="1"/>
  </cols>
  <sheetData>
    <row r="1" ht="12.75" customHeight="1">
      <c r="A1" s="17" t="s">
        <v>0</v>
      </c>
    </row>
    <row r="2" ht="12.75" customHeight="1">
      <c r="A2" s="16"/>
    </row>
    <row r="3" ht="12.75" customHeight="1">
      <c r="A3" s="28" t="s">
        <v>13</v>
      </c>
    </row>
    <row r="4" spans="1:9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  <c r="F4"/>
      <c r="G4"/>
      <c r="H4"/>
      <c r="I4"/>
    </row>
    <row r="5" spans="2:9" ht="12.75" customHeight="1">
      <c r="B5" s="10"/>
      <c r="C5" s="10"/>
      <c r="D5" s="10"/>
      <c r="F5"/>
      <c r="G5"/>
      <c r="H5"/>
      <c r="I5"/>
    </row>
    <row r="6" spans="1:9" ht="12.75" customHeight="1">
      <c r="A6" s="1" t="s">
        <v>42</v>
      </c>
      <c r="B6" s="9">
        <v>95</v>
      </c>
      <c r="C6" s="9">
        <f>ACC!R27</f>
        <v>216</v>
      </c>
      <c r="D6" s="9">
        <v>206</v>
      </c>
      <c r="F6"/>
      <c r="G6"/>
      <c r="H6"/>
      <c r="I6"/>
    </row>
    <row r="7" spans="1:9" ht="12.75" customHeight="1">
      <c r="A7" s="1" t="s">
        <v>49</v>
      </c>
      <c r="B7" s="9">
        <v>107</v>
      </c>
      <c r="C7" s="9">
        <f>ACC!R28</f>
        <v>210</v>
      </c>
      <c r="D7" s="9">
        <v>187</v>
      </c>
      <c r="F7"/>
      <c r="G7"/>
      <c r="H7"/>
      <c r="I7"/>
    </row>
    <row r="8" spans="1:9" ht="12.75" customHeight="1">
      <c r="A8" s="1" t="s">
        <v>50</v>
      </c>
      <c r="B8" s="9">
        <v>97</v>
      </c>
      <c r="C8" s="9">
        <f>ACC!R29</f>
        <v>198</v>
      </c>
      <c r="D8" s="9">
        <v>183</v>
      </c>
      <c r="F8"/>
      <c r="G8"/>
      <c r="H8"/>
      <c r="I8"/>
    </row>
    <row r="9" spans="1:9" ht="12.75" customHeight="1">
      <c r="A9" s="1" t="s">
        <v>52</v>
      </c>
      <c r="B9" s="9">
        <v>89</v>
      </c>
      <c r="C9" s="9">
        <f>ACC!R30</f>
        <v>207</v>
      </c>
      <c r="D9" s="9">
        <v>200</v>
      </c>
      <c r="F9"/>
      <c r="G9"/>
      <c r="H9"/>
      <c r="I9"/>
    </row>
    <row r="10" spans="1:9" ht="12.75" customHeight="1">
      <c r="A10" s="1" t="s">
        <v>57</v>
      </c>
      <c r="B10" s="9">
        <v>91</v>
      </c>
      <c r="C10" s="9">
        <f>ACC!R31</f>
        <v>221</v>
      </c>
      <c r="D10" s="9">
        <v>211</v>
      </c>
      <c r="F10"/>
      <c r="G10"/>
      <c r="H10"/>
      <c r="I10"/>
    </row>
    <row r="11" spans="1:9" ht="12.75" customHeight="1">
      <c r="A11" s="1"/>
      <c r="B11" s="6"/>
      <c r="C11" s="6"/>
      <c r="D11" s="6"/>
      <c r="F11"/>
      <c r="G11"/>
      <c r="H11"/>
      <c r="I11"/>
    </row>
    <row r="12" ht="12.75" customHeight="1"/>
    <row r="13" ht="12.75" customHeight="1">
      <c r="A13" s="28" t="s">
        <v>17</v>
      </c>
    </row>
    <row r="14" spans="1:4" s="26" customFormat="1" ht="12.75" customHeight="1">
      <c r="A14" s="1" t="s">
        <v>11</v>
      </c>
      <c r="B14" s="33" t="s">
        <v>16</v>
      </c>
      <c r="C14" s="33" t="s">
        <v>14</v>
      </c>
      <c r="D14" s="33" t="s">
        <v>15</v>
      </c>
    </row>
    <row r="15" spans="2:4" ht="12.75" customHeight="1">
      <c r="B15" s="10"/>
      <c r="C15" s="10"/>
      <c r="D15" s="10"/>
    </row>
    <row r="16" spans="1:4" ht="12.75" customHeight="1">
      <c r="A16" s="1" t="s">
        <v>42</v>
      </c>
      <c r="B16" s="9">
        <v>30</v>
      </c>
      <c r="C16" s="9">
        <f>ACC!R38</f>
        <v>42</v>
      </c>
      <c r="D16" s="9">
        <v>38</v>
      </c>
    </row>
    <row r="17" spans="1:4" ht="12.75" customHeight="1">
      <c r="A17" s="1" t="s">
        <v>49</v>
      </c>
      <c r="B17" s="9">
        <v>27</v>
      </c>
      <c r="C17" s="9">
        <f>ACC!R39</f>
        <v>34</v>
      </c>
      <c r="D17" s="9">
        <v>37</v>
      </c>
    </row>
    <row r="18" spans="1:4" ht="12.75" customHeight="1">
      <c r="A18" s="1" t="s">
        <v>50</v>
      </c>
      <c r="B18" s="9">
        <v>28</v>
      </c>
      <c r="C18" s="9">
        <f>ACC!R40</f>
        <v>38</v>
      </c>
      <c r="D18" s="9">
        <v>35</v>
      </c>
    </row>
    <row r="19" spans="1:4" ht="12.75" customHeight="1">
      <c r="A19" s="1" t="s">
        <v>52</v>
      </c>
      <c r="B19" s="9">
        <v>20</v>
      </c>
      <c r="C19" s="9">
        <f>ACC!R41</f>
        <v>34</v>
      </c>
      <c r="D19" s="9">
        <v>34</v>
      </c>
    </row>
    <row r="20" spans="1:4" ht="12.75" customHeight="1">
      <c r="A20" s="1" t="s">
        <v>57</v>
      </c>
      <c r="B20" s="9">
        <v>27</v>
      </c>
      <c r="C20" s="9">
        <f>ACC!R42</f>
        <v>47</v>
      </c>
      <c r="D20" s="9">
        <v>44</v>
      </c>
    </row>
    <row r="21" spans="1:4" ht="12.75" customHeight="1">
      <c r="A21" s="1"/>
      <c r="B21" s="6"/>
      <c r="C21" s="6"/>
      <c r="D21" s="6"/>
    </row>
    <row r="22" spans="1:5" s="11" customFormat="1" ht="12.75" customHeight="1">
      <c r="A22" s="15"/>
      <c r="B22" s="45"/>
      <c r="C22" s="45"/>
      <c r="D22" s="45"/>
      <c r="E22" s="45"/>
    </row>
    <row r="23" spans="1:9" s="26" customFormat="1" ht="12.75" customHeight="1">
      <c r="A23" s="1" t="s">
        <v>46</v>
      </c>
      <c r="B23" s="29" t="s">
        <v>13</v>
      </c>
      <c r="C23" s="29" t="s">
        <v>13</v>
      </c>
      <c r="D23" s="29" t="s">
        <v>7</v>
      </c>
      <c r="E23" s="29" t="s">
        <v>17</v>
      </c>
      <c r="F23" s="29" t="s">
        <v>17</v>
      </c>
      <c r="G23" s="30" t="s">
        <v>7</v>
      </c>
      <c r="H23" s="30" t="s">
        <v>8</v>
      </c>
      <c r="I23" s="16"/>
    </row>
    <row r="24" spans="1:9" s="26" customFormat="1" ht="12.75" customHeight="1">
      <c r="A24" s="16"/>
      <c r="B24" s="31" t="s">
        <v>18</v>
      </c>
      <c r="C24" s="31" t="s">
        <v>19</v>
      </c>
      <c r="D24" s="31" t="s">
        <v>13</v>
      </c>
      <c r="E24" s="31" t="s">
        <v>20</v>
      </c>
      <c r="F24" s="31" t="s">
        <v>21</v>
      </c>
      <c r="G24" s="32" t="s">
        <v>17</v>
      </c>
      <c r="H24" s="32" t="s">
        <v>7</v>
      </c>
      <c r="I24" s="16"/>
    </row>
    <row r="25" spans="2:9" ht="12.75" customHeight="1">
      <c r="B25" s="3"/>
      <c r="C25" s="3"/>
      <c r="D25" s="3"/>
      <c r="E25" s="3"/>
      <c r="F25" s="3"/>
      <c r="G25" s="3"/>
      <c r="H25" s="10"/>
      <c r="I25"/>
    </row>
    <row r="26" spans="1:9" ht="12.75" customHeight="1">
      <c r="A26" s="1" t="s">
        <v>42</v>
      </c>
      <c r="B26" s="46">
        <f>144+759+729</f>
        <v>1632</v>
      </c>
      <c r="C26" s="46">
        <f>207+1215+993</f>
        <v>2415</v>
      </c>
      <c r="D26" s="46">
        <f>C26+B26</f>
        <v>4047</v>
      </c>
      <c r="E26" s="46">
        <f>189+186+186</f>
        <v>561</v>
      </c>
      <c r="F26" s="46">
        <v>0</v>
      </c>
      <c r="G26" s="46">
        <f>F26+E26</f>
        <v>561</v>
      </c>
      <c r="H26" s="47">
        <f>G26+D26</f>
        <v>4608</v>
      </c>
      <c r="I26"/>
    </row>
    <row r="27" spans="1:9" ht="12.75" customHeight="1">
      <c r="A27" s="1" t="s">
        <v>49</v>
      </c>
      <c r="B27" s="46">
        <f>225+831+747</f>
        <v>1803</v>
      </c>
      <c r="C27" s="46">
        <f>314+1050+831</f>
        <v>2195</v>
      </c>
      <c r="D27" s="46">
        <f>C27+B27</f>
        <v>3998</v>
      </c>
      <c r="E27" s="46">
        <f>162+144+222</f>
        <v>528</v>
      </c>
      <c r="F27" s="46">
        <v>0</v>
      </c>
      <c r="G27" s="46">
        <f>F27+E27</f>
        <v>528</v>
      </c>
      <c r="H27" s="47">
        <f>G27+D27</f>
        <v>4526</v>
      </c>
      <c r="I27"/>
    </row>
    <row r="28" spans="1:9" ht="12.75" customHeight="1">
      <c r="A28" s="1" t="s">
        <v>50</v>
      </c>
      <c r="B28" s="46">
        <v>1584</v>
      </c>
      <c r="C28" s="46">
        <v>2476</v>
      </c>
      <c r="D28" s="46">
        <f>C28+B28</f>
        <v>4060</v>
      </c>
      <c r="E28" s="46">
        <v>541</v>
      </c>
      <c r="F28" s="46">
        <v>0</v>
      </c>
      <c r="G28" s="46">
        <f>F28+E28</f>
        <v>541</v>
      </c>
      <c r="H28" s="47">
        <f>G28+D28</f>
        <v>4601</v>
      </c>
      <c r="I28"/>
    </row>
    <row r="29" spans="1:9" ht="12.75" customHeight="1">
      <c r="A29" s="1" t="s">
        <v>52</v>
      </c>
      <c r="B29" s="46">
        <v>1884</v>
      </c>
      <c r="C29" s="46">
        <v>2160</v>
      </c>
      <c r="D29" s="46">
        <f>C29+B29</f>
        <v>4044</v>
      </c>
      <c r="E29" s="46">
        <v>672</v>
      </c>
      <c r="F29" s="46">
        <v>0</v>
      </c>
      <c r="G29" s="46">
        <f>F29+E29</f>
        <v>672</v>
      </c>
      <c r="H29" s="47">
        <f>G29+D29</f>
        <v>4716</v>
      </c>
      <c r="I29"/>
    </row>
    <row r="30" spans="1:9" ht="12.75" customHeight="1">
      <c r="A30" s="1" t="s">
        <v>57</v>
      </c>
      <c r="B30" s="46">
        <v>1737</v>
      </c>
      <c r="C30" s="46">
        <v>1851</v>
      </c>
      <c r="D30" s="46">
        <f>C30+B30</f>
        <v>3588</v>
      </c>
      <c r="E30" s="46">
        <v>960</v>
      </c>
      <c r="F30" s="46">
        <v>0</v>
      </c>
      <c r="G30" s="46">
        <f>F30+E30</f>
        <v>960</v>
      </c>
      <c r="H30" s="47">
        <f>G30+D30</f>
        <v>4548</v>
      </c>
      <c r="I30"/>
    </row>
    <row r="31" spans="1:9" ht="12.75" customHeight="1">
      <c r="A31" s="16"/>
      <c r="B31" s="12"/>
      <c r="C31" s="12"/>
      <c r="D31" s="12"/>
      <c r="E31" s="12"/>
      <c r="F31" s="12"/>
      <c r="G31" s="12"/>
      <c r="H31" s="14"/>
      <c r="I31"/>
    </row>
    <row r="32" spans="1:8" ht="12.75" customHeight="1">
      <c r="A32" s="16"/>
      <c r="B32"/>
      <c r="C32"/>
      <c r="D32"/>
      <c r="E32"/>
      <c r="F32"/>
      <c r="G32"/>
      <c r="H32"/>
    </row>
    <row r="33" spans="1:8" ht="12.75" customHeight="1">
      <c r="A33" s="1" t="s">
        <v>47</v>
      </c>
      <c r="B33" s="68" t="s">
        <v>13</v>
      </c>
      <c r="C33" s="68" t="s">
        <v>13</v>
      </c>
      <c r="D33" s="68" t="s">
        <v>7</v>
      </c>
      <c r="E33" s="68" t="s">
        <v>17</v>
      </c>
      <c r="F33" s="68" t="s">
        <v>22</v>
      </c>
      <c r="G33" s="68" t="s">
        <v>23</v>
      </c>
      <c r="H33" s="69" t="s">
        <v>8</v>
      </c>
    </row>
    <row r="34" spans="1:8" ht="12.75" customHeight="1">
      <c r="A34" s="16"/>
      <c r="B34" s="70" t="s">
        <v>18</v>
      </c>
      <c r="C34" s="70" t="s">
        <v>19</v>
      </c>
      <c r="D34" s="70" t="s">
        <v>13</v>
      </c>
      <c r="E34" s="70" t="s">
        <v>20</v>
      </c>
      <c r="F34" s="70" t="s">
        <v>21</v>
      </c>
      <c r="G34" s="70" t="s">
        <v>17</v>
      </c>
      <c r="H34" s="71" t="s">
        <v>7</v>
      </c>
    </row>
    <row r="35" spans="2:8" ht="12.75" customHeight="1">
      <c r="B35" s="7"/>
      <c r="C35" s="7"/>
      <c r="D35" s="7"/>
      <c r="E35" s="7"/>
      <c r="F35" s="7"/>
      <c r="G35" s="7"/>
      <c r="H35" s="9"/>
    </row>
    <row r="36" spans="1:8" ht="12.75" customHeight="1">
      <c r="A36" s="1" t="s">
        <v>42</v>
      </c>
      <c r="B36" s="23">
        <f>SUM(B26*0.95)</f>
        <v>1550.3999999999999</v>
      </c>
      <c r="C36" s="23">
        <f>SUM(C26*1.29)</f>
        <v>3115.35</v>
      </c>
      <c r="D36" s="23">
        <f>C36+B36</f>
        <v>4665.75</v>
      </c>
      <c r="E36" s="23">
        <f>SUM(E26*3.27)</f>
        <v>1834.47</v>
      </c>
      <c r="F36" s="23">
        <f>SUM(F26*0)</f>
        <v>0</v>
      </c>
      <c r="G36" s="23">
        <f>F36+E36</f>
        <v>1834.47</v>
      </c>
      <c r="H36" s="24">
        <f>G36+D36</f>
        <v>6500.22</v>
      </c>
    </row>
    <row r="37" spans="1:8" ht="12.75" customHeight="1">
      <c r="A37" s="1" t="s">
        <v>49</v>
      </c>
      <c r="B37" s="23">
        <f>SUM(B27*0.95)</f>
        <v>1712.85</v>
      </c>
      <c r="C37" s="23">
        <f>SUM(C27*1.29)</f>
        <v>2831.55</v>
      </c>
      <c r="D37" s="23">
        <f>C37+B37</f>
        <v>4544.4</v>
      </c>
      <c r="E37" s="23">
        <f>SUM(E27*3.27)</f>
        <v>1726.56</v>
      </c>
      <c r="F37" s="23">
        <f>SUM(F27*0)</f>
        <v>0</v>
      </c>
      <c r="G37" s="23">
        <f>F37+E37</f>
        <v>1726.56</v>
      </c>
      <c r="H37" s="24">
        <f>G37+D37</f>
        <v>6270.959999999999</v>
      </c>
    </row>
    <row r="38" spans="1:8" ht="12.75" customHeight="1">
      <c r="A38" s="1" t="s">
        <v>50</v>
      </c>
      <c r="B38" s="23">
        <f>SUM(B28*0.95)</f>
        <v>1504.8</v>
      </c>
      <c r="C38" s="23">
        <f>SUM(C28*1.29)</f>
        <v>3194.04</v>
      </c>
      <c r="D38" s="23">
        <f>C38+B38</f>
        <v>4698.84</v>
      </c>
      <c r="E38" s="23">
        <f>SUM(E28*3.27)</f>
        <v>1769.07</v>
      </c>
      <c r="F38" s="23">
        <f>SUM(F28*0)</f>
        <v>0</v>
      </c>
      <c r="G38" s="23">
        <f>F38+E38</f>
        <v>1769.07</v>
      </c>
      <c r="H38" s="24">
        <f>G38+D38</f>
        <v>6467.91</v>
      </c>
    </row>
    <row r="39" spans="1:8" ht="12.75" customHeight="1">
      <c r="A39" s="1" t="s">
        <v>52</v>
      </c>
      <c r="B39" s="23">
        <f>SUM(B29*0.95)</f>
        <v>1789.8</v>
      </c>
      <c r="C39" s="23">
        <f>SUM(C29*1.29)</f>
        <v>2786.4</v>
      </c>
      <c r="D39" s="23">
        <f>C39+B39</f>
        <v>4576.2</v>
      </c>
      <c r="E39" s="23">
        <f>SUM(E29*3.27)</f>
        <v>2197.44</v>
      </c>
      <c r="F39" s="23">
        <f>SUM(F29*0)</f>
        <v>0</v>
      </c>
      <c r="G39" s="23">
        <f>F39+E39</f>
        <v>2197.44</v>
      </c>
      <c r="H39" s="24">
        <f>G39+D39</f>
        <v>6773.639999999999</v>
      </c>
    </row>
    <row r="40" spans="1:8" ht="12.75" customHeight="1">
      <c r="A40" s="1" t="s">
        <v>57</v>
      </c>
      <c r="B40" s="23">
        <f>SUM(B30*0.95)</f>
        <v>1650.1499999999999</v>
      </c>
      <c r="C40" s="23">
        <f>SUM(C30*1.29)</f>
        <v>2387.79</v>
      </c>
      <c r="D40" s="23">
        <f>C40+B40</f>
        <v>4037.9399999999996</v>
      </c>
      <c r="E40" s="23">
        <f>SUM(E30*3.27)</f>
        <v>3139.2</v>
      </c>
      <c r="F40" s="23">
        <f>SUM(F30*0)</f>
        <v>0</v>
      </c>
      <c r="G40" s="23">
        <f>F40+E40</f>
        <v>3139.2</v>
      </c>
      <c r="H40" s="24">
        <f>G40+D40</f>
        <v>7177.139999999999</v>
      </c>
    </row>
    <row r="41" spans="1:8" ht="12.75" customHeight="1">
      <c r="A41" s="16"/>
      <c r="B41" s="12"/>
      <c r="C41" s="12"/>
      <c r="D41" s="12"/>
      <c r="E41" s="12"/>
      <c r="F41" s="12"/>
      <c r="G41" s="12"/>
      <c r="H41" s="14"/>
    </row>
    <row r="42" spans="1:8" ht="12.75" customHeight="1">
      <c r="A42" s="16"/>
      <c r="B42" s="11"/>
      <c r="C42" s="11"/>
      <c r="D42" s="11"/>
      <c r="E42" s="11"/>
      <c r="F42" s="11"/>
      <c r="G42" s="11"/>
      <c r="H42" s="11"/>
    </row>
    <row r="43" ht="10.5">
      <c r="A43" s="56" t="s">
        <v>48</v>
      </c>
    </row>
    <row r="44" ht="10.5">
      <c r="A44" s="56"/>
    </row>
  </sheetData>
  <printOptions horizontalCentered="1"/>
  <pageMargins left="0.25" right="0.25" top="1" bottom="0.75" header="0.5" footer="0.25"/>
  <pageSetup fitToHeight="1" fitToWidth="1" horizontalDpi="300" verticalDpi="300" orientation="landscape" scale="87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R19"/>
  <sheetViews>
    <sheetView workbookViewId="0" topLeftCell="A1">
      <selection activeCell="A14" sqref="A14"/>
    </sheetView>
  </sheetViews>
  <sheetFormatPr defaultColWidth="9.140625" defaultRowHeight="12.75"/>
  <cols>
    <col min="1" max="1" width="18.7109375" style="0" customWidth="1"/>
    <col min="2" max="17" width="7.28125" style="0" customWidth="1"/>
  </cols>
  <sheetData>
    <row r="2" spans="1:2" ht="12.75">
      <c r="A2" s="66" t="s">
        <v>34</v>
      </c>
      <c r="B2" s="66"/>
    </row>
    <row r="6" spans="1:18" ht="12.75">
      <c r="A6" s="16"/>
      <c r="B6" s="35" t="s">
        <v>1</v>
      </c>
      <c r="C6" s="36"/>
      <c r="D6" s="35" t="s">
        <v>2</v>
      </c>
      <c r="E6" s="36"/>
      <c r="F6" s="35" t="s">
        <v>3</v>
      </c>
      <c r="G6" s="36"/>
      <c r="H6" s="35" t="s">
        <v>4</v>
      </c>
      <c r="I6" s="36"/>
      <c r="J6" s="35" t="s">
        <v>5</v>
      </c>
      <c r="K6" s="36"/>
      <c r="L6" s="93" t="s">
        <v>6</v>
      </c>
      <c r="M6" s="94"/>
      <c r="N6" s="95" t="s">
        <v>38</v>
      </c>
      <c r="O6" s="94"/>
      <c r="P6" s="35" t="s">
        <v>7</v>
      </c>
      <c r="Q6" s="36"/>
      <c r="R6" s="30" t="s">
        <v>8</v>
      </c>
    </row>
    <row r="7" spans="1:18" ht="12.75">
      <c r="A7" s="1" t="s">
        <v>59</v>
      </c>
      <c r="B7" s="31" t="s">
        <v>9</v>
      </c>
      <c r="C7" s="34" t="s">
        <v>10</v>
      </c>
      <c r="D7" s="31" t="s">
        <v>9</v>
      </c>
      <c r="E7" s="34" t="s">
        <v>10</v>
      </c>
      <c r="F7" s="31" t="s">
        <v>9</v>
      </c>
      <c r="G7" s="34" t="s">
        <v>10</v>
      </c>
      <c r="H7" s="31" t="s">
        <v>9</v>
      </c>
      <c r="I7" s="34" t="s">
        <v>10</v>
      </c>
      <c r="J7" s="31" t="s">
        <v>9</v>
      </c>
      <c r="K7" s="34" t="s">
        <v>10</v>
      </c>
      <c r="L7" s="31" t="s">
        <v>9</v>
      </c>
      <c r="M7" s="34" t="s">
        <v>10</v>
      </c>
      <c r="N7" s="76" t="s">
        <v>9</v>
      </c>
      <c r="O7" s="34" t="s">
        <v>10</v>
      </c>
      <c r="P7" s="31" t="s">
        <v>9</v>
      </c>
      <c r="Q7" s="34" t="s">
        <v>10</v>
      </c>
      <c r="R7" s="32" t="s">
        <v>7</v>
      </c>
    </row>
    <row r="8" spans="1:18" ht="12.75">
      <c r="A8" s="16"/>
      <c r="B8" s="3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77"/>
      <c r="O8" s="4"/>
      <c r="P8" s="3"/>
      <c r="Q8" s="4"/>
      <c r="R8" s="10"/>
    </row>
    <row r="9" spans="1:18" ht="12.75">
      <c r="A9" s="1" t="s">
        <v>42</v>
      </c>
      <c r="B9" s="81">
        <v>4</v>
      </c>
      <c r="C9" s="84">
        <v>2</v>
      </c>
      <c r="D9" s="81">
        <v>0</v>
      </c>
      <c r="E9" s="84">
        <v>0</v>
      </c>
      <c r="F9" s="81">
        <v>0</v>
      </c>
      <c r="G9" s="84">
        <v>0</v>
      </c>
      <c r="H9" s="81">
        <v>0</v>
      </c>
      <c r="I9" s="84">
        <v>0</v>
      </c>
      <c r="J9" s="81">
        <v>0</v>
      </c>
      <c r="K9" s="84">
        <v>0</v>
      </c>
      <c r="L9" s="81">
        <v>0</v>
      </c>
      <c r="M9" s="82">
        <v>0</v>
      </c>
      <c r="N9" s="84">
        <v>0</v>
      </c>
      <c r="O9" s="84">
        <v>0</v>
      </c>
      <c r="P9" s="81">
        <f aca="true" t="shared" si="0" ref="P9:Q13">SUM(L9,J9,H9,F9,D9,B9,N9)</f>
        <v>4</v>
      </c>
      <c r="Q9" s="82">
        <f t="shared" si="0"/>
        <v>2</v>
      </c>
      <c r="R9" s="83">
        <f>SUM(P9:Q9)</f>
        <v>6</v>
      </c>
    </row>
    <row r="10" spans="1:18" ht="12.75">
      <c r="A10" s="1" t="s">
        <v>49</v>
      </c>
      <c r="B10" s="81">
        <v>3</v>
      </c>
      <c r="C10" s="84">
        <v>2</v>
      </c>
      <c r="D10" s="81">
        <v>0</v>
      </c>
      <c r="E10" s="84">
        <v>0</v>
      </c>
      <c r="F10" s="81">
        <v>1</v>
      </c>
      <c r="G10" s="84">
        <v>0</v>
      </c>
      <c r="H10" s="81">
        <v>0</v>
      </c>
      <c r="I10" s="84">
        <v>0</v>
      </c>
      <c r="J10" s="81">
        <v>0</v>
      </c>
      <c r="K10" s="84">
        <v>0</v>
      </c>
      <c r="L10" s="81">
        <v>0</v>
      </c>
      <c r="M10" s="82">
        <v>0</v>
      </c>
      <c r="N10" s="84">
        <v>0</v>
      </c>
      <c r="O10" s="84">
        <v>0</v>
      </c>
      <c r="P10" s="81">
        <f t="shared" si="0"/>
        <v>4</v>
      </c>
      <c r="Q10" s="82">
        <f t="shared" si="0"/>
        <v>2</v>
      </c>
      <c r="R10" s="83">
        <f>SUM(P10:Q10)</f>
        <v>6</v>
      </c>
    </row>
    <row r="11" spans="1:18" ht="12.75">
      <c r="A11" s="1" t="s">
        <v>50</v>
      </c>
      <c r="B11" s="81">
        <v>2</v>
      </c>
      <c r="C11" s="84">
        <v>5</v>
      </c>
      <c r="D11" s="81">
        <v>0</v>
      </c>
      <c r="E11" s="84">
        <v>1</v>
      </c>
      <c r="F11" s="81">
        <v>0</v>
      </c>
      <c r="G11" s="84">
        <v>0</v>
      </c>
      <c r="H11" s="81">
        <v>0</v>
      </c>
      <c r="I11" s="84">
        <v>0</v>
      </c>
      <c r="J11" s="81">
        <v>0</v>
      </c>
      <c r="K11" s="84">
        <v>0</v>
      </c>
      <c r="L11" s="81">
        <v>0</v>
      </c>
      <c r="M11" s="82">
        <v>0</v>
      </c>
      <c r="N11" s="84">
        <v>0</v>
      </c>
      <c r="O11" s="84">
        <v>0</v>
      </c>
      <c r="P11" s="81">
        <f t="shared" si="0"/>
        <v>2</v>
      </c>
      <c r="Q11" s="82">
        <f t="shared" si="0"/>
        <v>6</v>
      </c>
      <c r="R11" s="83">
        <f>SUM(P11:Q11)</f>
        <v>8</v>
      </c>
    </row>
    <row r="12" spans="1:18" ht="12.75">
      <c r="A12" s="1" t="s">
        <v>52</v>
      </c>
      <c r="B12" s="81">
        <v>1</v>
      </c>
      <c r="C12" s="84">
        <v>6</v>
      </c>
      <c r="D12" s="81">
        <v>0</v>
      </c>
      <c r="E12" s="84">
        <v>2</v>
      </c>
      <c r="F12" s="81">
        <v>0</v>
      </c>
      <c r="G12" s="84">
        <v>0</v>
      </c>
      <c r="H12" s="81">
        <v>0</v>
      </c>
      <c r="I12" s="84">
        <v>0</v>
      </c>
      <c r="J12" s="81">
        <v>0</v>
      </c>
      <c r="K12" s="84">
        <v>0</v>
      </c>
      <c r="L12" s="81">
        <v>0</v>
      </c>
      <c r="M12" s="82">
        <v>0</v>
      </c>
      <c r="N12" s="84">
        <v>0</v>
      </c>
      <c r="O12" s="84">
        <v>0</v>
      </c>
      <c r="P12" s="81">
        <f t="shared" si="0"/>
        <v>1</v>
      </c>
      <c r="Q12" s="84">
        <f t="shared" si="0"/>
        <v>8</v>
      </c>
      <c r="R12" s="83">
        <f>SUM(P12:Q12)</f>
        <v>9</v>
      </c>
    </row>
    <row r="13" spans="1:18" ht="12.75">
      <c r="A13" s="1" t="s">
        <v>57</v>
      </c>
      <c r="B13" s="81">
        <v>1</v>
      </c>
      <c r="C13" s="84">
        <v>4</v>
      </c>
      <c r="D13" s="81">
        <v>0</v>
      </c>
      <c r="E13" s="84">
        <v>0</v>
      </c>
      <c r="F13" s="81">
        <v>0</v>
      </c>
      <c r="G13" s="84">
        <v>0</v>
      </c>
      <c r="H13" s="81">
        <v>0</v>
      </c>
      <c r="I13" s="84">
        <v>2</v>
      </c>
      <c r="J13" s="81">
        <v>0</v>
      </c>
      <c r="K13" s="84">
        <v>0</v>
      </c>
      <c r="L13" s="81">
        <v>0</v>
      </c>
      <c r="M13" s="82">
        <v>0</v>
      </c>
      <c r="N13" s="84">
        <v>0</v>
      </c>
      <c r="O13" s="84">
        <v>0</v>
      </c>
      <c r="P13" s="81">
        <f t="shared" si="0"/>
        <v>1</v>
      </c>
      <c r="Q13" s="84">
        <f t="shared" si="0"/>
        <v>6</v>
      </c>
      <c r="R13" s="83">
        <f>SUM(P13:Q13)</f>
        <v>7</v>
      </c>
    </row>
    <row r="14" spans="1:18" ht="12.75">
      <c r="A14" s="53"/>
      <c r="B14" s="54"/>
      <c r="C14" s="55"/>
      <c r="D14" s="54"/>
      <c r="E14" s="55"/>
      <c r="F14" s="54"/>
      <c r="G14" s="55"/>
      <c r="H14" s="54"/>
      <c r="I14" s="55"/>
      <c r="J14" s="54"/>
      <c r="K14" s="55"/>
      <c r="L14" s="54"/>
      <c r="M14" s="64"/>
      <c r="N14" s="55"/>
      <c r="O14" s="55"/>
      <c r="P14" s="54"/>
      <c r="Q14" s="55"/>
      <c r="R14" s="58"/>
    </row>
    <row r="16" ht="12.75">
      <c r="A16" s="74"/>
    </row>
    <row r="17" spans="1:11" ht="12.75">
      <c r="A17" s="26"/>
      <c r="C17" s="66"/>
      <c r="D17" s="66"/>
      <c r="E17" s="66"/>
      <c r="F17" s="66"/>
      <c r="G17" s="66"/>
      <c r="H17" s="66"/>
      <c r="I17" s="66"/>
      <c r="J17" s="66"/>
      <c r="K17" s="66"/>
    </row>
    <row r="18" ht="12.75">
      <c r="A18" s="26"/>
    </row>
    <row r="19" spans="1:11" ht="12.75">
      <c r="A19" s="56"/>
      <c r="B19" s="2"/>
      <c r="C19" s="2"/>
      <c r="D19" s="2"/>
      <c r="E19" s="2"/>
      <c r="F19" s="2"/>
      <c r="G19" s="2"/>
      <c r="H19" s="2"/>
      <c r="I19" s="2"/>
      <c r="J19" s="2"/>
      <c r="K19" s="2"/>
    </row>
  </sheetData>
  <mergeCells count="2">
    <mergeCell ref="N6:O6"/>
    <mergeCell ref="L6:M6"/>
  </mergeCells>
  <printOptions horizontalCentered="1"/>
  <pageMargins left="0.25" right="0.25" top="1" bottom="0.75" header="0.5" footer="0.25"/>
  <pageSetup fitToHeight="1" fitToWidth="1" horizontalDpi="300" verticalDpi="300" orientation="landscape" scale="96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5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ht="12.75" customHeight="1">
      <c r="A1" s="17" t="s">
        <v>24</v>
      </c>
    </row>
    <row r="2" ht="12.75" customHeight="1"/>
    <row r="3" spans="1:8" s="26" customFormat="1" ht="12.75" customHeight="1">
      <c r="A3" s="1" t="s">
        <v>46</v>
      </c>
      <c r="B3" s="29" t="s">
        <v>13</v>
      </c>
      <c r="C3" s="29" t="s">
        <v>13</v>
      </c>
      <c r="D3" s="29" t="s">
        <v>7</v>
      </c>
      <c r="E3" s="29" t="s">
        <v>17</v>
      </c>
      <c r="F3" s="29" t="s">
        <v>17</v>
      </c>
      <c r="G3" s="30" t="s">
        <v>7</v>
      </c>
      <c r="H3" s="30" t="s">
        <v>8</v>
      </c>
    </row>
    <row r="4" spans="1:8" s="26" customFormat="1" ht="12.75" customHeight="1">
      <c r="A4" s="1"/>
      <c r="B4" s="31" t="s">
        <v>18</v>
      </c>
      <c r="C4" s="31" t="s">
        <v>19</v>
      </c>
      <c r="D4" s="31" t="s">
        <v>13</v>
      </c>
      <c r="E4" s="31" t="s">
        <v>20</v>
      </c>
      <c r="F4" s="31" t="s">
        <v>21</v>
      </c>
      <c r="G4" s="32" t="s">
        <v>17</v>
      </c>
      <c r="H4" s="32" t="s">
        <v>7</v>
      </c>
    </row>
    <row r="5" spans="2:8" ht="12.75" customHeight="1">
      <c r="B5" s="3"/>
      <c r="C5" s="3"/>
      <c r="D5" s="3"/>
      <c r="E5" s="3"/>
      <c r="F5" s="3"/>
      <c r="G5" s="3"/>
      <c r="H5" s="10"/>
    </row>
    <row r="6" spans="1:8" ht="12.75" customHeight="1">
      <c r="A6" s="1" t="s">
        <v>42</v>
      </c>
      <c r="B6" s="46">
        <f>72+402+369</f>
        <v>843</v>
      </c>
      <c r="C6" s="46">
        <f>69+129</f>
        <v>198</v>
      </c>
      <c r="D6" s="46">
        <f>C6+B6</f>
        <v>1041</v>
      </c>
      <c r="E6" s="46">
        <f>57+24</f>
        <v>81</v>
      </c>
      <c r="F6" s="46">
        <v>0</v>
      </c>
      <c r="G6" s="46">
        <f>F6+E6</f>
        <v>81</v>
      </c>
      <c r="H6" s="48">
        <f>G6+D6</f>
        <v>1122</v>
      </c>
    </row>
    <row r="7" spans="1:8" ht="12.75" customHeight="1">
      <c r="A7" s="1" t="s">
        <v>49</v>
      </c>
      <c r="B7" s="46">
        <f>60+435+429</f>
        <v>924</v>
      </c>
      <c r="C7" s="46">
        <f>72+180</f>
        <v>252</v>
      </c>
      <c r="D7" s="46">
        <f>C7+B7</f>
        <v>1176</v>
      </c>
      <c r="E7" s="46">
        <f>15+24</f>
        <v>39</v>
      </c>
      <c r="F7" s="46">
        <v>0</v>
      </c>
      <c r="G7" s="46">
        <f>F7+E7</f>
        <v>39</v>
      </c>
      <c r="H7" s="48">
        <f>G7+D7</f>
        <v>1215</v>
      </c>
    </row>
    <row r="8" spans="1:8" ht="12.75" customHeight="1">
      <c r="A8" s="1" t="s">
        <v>50</v>
      </c>
      <c r="B8" s="46">
        <v>981</v>
      </c>
      <c r="C8" s="46">
        <v>183</v>
      </c>
      <c r="D8" s="46">
        <f>C8+B8</f>
        <v>1164</v>
      </c>
      <c r="E8" s="46">
        <v>45</v>
      </c>
      <c r="F8" s="46">
        <v>0</v>
      </c>
      <c r="G8" s="46">
        <f>F8+E8</f>
        <v>45</v>
      </c>
      <c r="H8" s="48">
        <f>G8+D8</f>
        <v>1209</v>
      </c>
    </row>
    <row r="9" spans="1:8" ht="12.75" customHeight="1">
      <c r="A9" s="1" t="s">
        <v>52</v>
      </c>
      <c r="B9" s="46">
        <v>993</v>
      </c>
      <c r="C9" s="46">
        <v>159</v>
      </c>
      <c r="D9" s="46">
        <f>C9+B9</f>
        <v>1152</v>
      </c>
      <c r="E9" s="46">
        <v>45</v>
      </c>
      <c r="F9" s="46">
        <v>0</v>
      </c>
      <c r="G9" s="46">
        <f>F9+E9</f>
        <v>45</v>
      </c>
      <c r="H9" s="48">
        <f>G9+D9</f>
        <v>1197</v>
      </c>
    </row>
    <row r="10" spans="1:8" ht="12.75" customHeight="1">
      <c r="A10" s="1" t="s">
        <v>57</v>
      </c>
      <c r="B10" s="46">
        <v>966</v>
      </c>
      <c r="C10" s="46">
        <v>144</v>
      </c>
      <c r="D10" s="46">
        <f>C10+B10</f>
        <v>1110</v>
      </c>
      <c r="E10" s="46">
        <v>78</v>
      </c>
      <c r="F10" s="46">
        <v>0</v>
      </c>
      <c r="G10" s="46">
        <f>F10+E10</f>
        <v>78</v>
      </c>
      <c r="H10" s="48">
        <f>G10+D10</f>
        <v>1188</v>
      </c>
    </row>
    <row r="11" spans="1:8" ht="12.75" customHeight="1">
      <c r="A11" s="16"/>
      <c r="B11" s="12"/>
      <c r="C11" s="12"/>
      <c r="D11" s="12"/>
      <c r="E11" s="12"/>
      <c r="F11" s="12"/>
      <c r="G11" s="12"/>
      <c r="H11" s="14"/>
    </row>
    <row r="12" ht="12.75" customHeight="1"/>
    <row r="13" spans="1:8" ht="12.75" customHeight="1">
      <c r="A13" s="16"/>
      <c r="B13"/>
      <c r="C13"/>
      <c r="D13"/>
      <c r="E13"/>
      <c r="F13"/>
      <c r="G13"/>
      <c r="H13"/>
    </row>
    <row r="14" spans="1:8" s="26" customFormat="1" ht="12.75" customHeight="1">
      <c r="A14" s="1" t="s">
        <v>47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22</v>
      </c>
      <c r="G14" s="29" t="s">
        <v>23</v>
      </c>
      <c r="H14" s="30" t="s">
        <v>8</v>
      </c>
    </row>
    <row r="15" spans="2:8" s="26" customFormat="1" ht="12.75" customHeight="1"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1" t="s">
        <v>17</v>
      </c>
      <c r="H15" s="32" t="s">
        <v>7</v>
      </c>
    </row>
    <row r="16" spans="2:8" ht="12.75" customHeight="1">
      <c r="B16" s="7"/>
      <c r="C16" s="7"/>
      <c r="D16" s="7"/>
      <c r="E16" s="7"/>
      <c r="F16" s="7"/>
      <c r="G16" s="7"/>
      <c r="H16" s="9"/>
    </row>
    <row r="17" spans="1:8" ht="12.75" customHeight="1">
      <c r="A17" s="1" t="s">
        <v>42</v>
      </c>
      <c r="B17" s="23">
        <f>SUM(B6*0.95)</f>
        <v>800.8499999999999</v>
      </c>
      <c r="C17" s="23">
        <f>SUM(C6*1.29)</f>
        <v>255.42000000000002</v>
      </c>
      <c r="D17" s="23">
        <f>C17+B17</f>
        <v>1056.27</v>
      </c>
      <c r="E17" s="23">
        <f>(E6*3.27)</f>
        <v>264.87</v>
      </c>
      <c r="F17" s="23">
        <f>SUM(F6*0)</f>
        <v>0</v>
      </c>
      <c r="G17" s="23">
        <f>F17+E17</f>
        <v>264.87</v>
      </c>
      <c r="H17" s="24">
        <f>G17+D17</f>
        <v>1321.1399999999999</v>
      </c>
    </row>
    <row r="18" spans="1:8" ht="12.75" customHeight="1">
      <c r="A18" s="1" t="s">
        <v>49</v>
      </c>
      <c r="B18" s="23">
        <f>SUM(B7*0.95)</f>
        <v>877.8</v>
      </c>
      <c r="C18" s="23">
        <f>SUM(C7*1.29)</f>
        <v>325.08</v>
      </c>
      <c r="D18" s="23">
        <f>C18+B18</f>
        <v>1202.8799999999999</v>
      </c>
      <c r="E18" s="23">
        <f>(E7*3.27)</f>
        <v>127.53</v>
      </c>
      <c r="F18" s="23">
        <f>SUM(F7*0)</f>
        <v>0</v>
      </c>
      <c r="G18" s="23">
        <f>F18+E18</f>
        <v>127.53</v>
      </c>
      <c r="H18" s="24">
        <f>G18+D18</f>
        <v>1330.4099999999999</v>
      </c>
    </row>
    <row r="19" spans="1:8" ht="12.75" customHeight="1">
      <c r="A19" s="1" t="s">
        <v>50</v>
      </c>
      <c r="B19" s="23">
        <f>SUM(B8*0.95)</f>
        <v>931.9499999999999</v>
      </c>
      <c r="C19" s="23">
        <f>SUM(C8*1.29)</f>
        <v>236.07</v>
      </c>
      <c r="D19" s="23">
        <f>C19+B19</f>
        <v>1168.02</v>
      </c>
      <c r="E19" s="23">
        <f>(E8*3.27)</f>
        <v>147.15</v>
      </c>
      <c r="F19" s="23">
        <f>SUM(F8*0)</f>
        <v>0</v>
      </c>
      <c r="G19" s="23">
        <f>F19+E19</f>
        <v>147.15</v>
      </c>
      <c r="H19" s="24">
        <f>G19+D19</f>
        <v>1315.17</v>
      </c>
    </row>
    <row r="20" spans="1:8" ht="12.75" customHeight="1">
      <c r="A20" s="1" t="s">
        <v>52</v>
      </c>
      <c r="B20" s="23">
        <f>SUM(B9*0.95)</f>
        <v>943.3499999999999</v>
      </c>
      <c r="C20" s="23">
        <f>SUM(C9*1.29)</f>
        <v>205.11</v>
      </c>
      <c r="D20" s="23">
        <f>C20+B20</f>
        <v>1148.46</v>
      </c>
      <c r="E20" s="23">
        <f>(E9*3.27)</f>
        <v>147.15</v>
      </c>
      <c r="F20" s="23">
        <f>SUM(F9*0)</f>
        <v>0</v>
      </c>
      <c r="G20" s="23">
        <f>F20+E20</f>
        <v>147.15</v>
      </c>
      <c r="H20" s="24">
        <f>G20+D20</f>
        <v>1295.6100000000001</v>
      </c>
    </row>
    <row r="21" spans="1:8" ht="12.75" customHeight="1">
      <c r="A21" s="1" t="s">
        <v>57</v>
      </c>
      <c r="B21" s="23">
        <f>SUM(B10*0.95)</f>
        <v>917.6999999999999</v>
      </c>
      <c r="C21" s="23">
        <f>SUM(C10*1.29)</f>
        <v>185.76</v>
      </c>
      <c r="D21" s="23">
        <f>C21+B21</f>
        <v>1103.46</v>
      </c>
      <c r="E21" s="23">
        <f>(E10*3.27)</f>
        <v>255.06</v>
      </c>
      <c r="F21" s="23">
        <f>SUM(F10*0)</f>
        <v>0</v>
      </c>
      <c r="G21" s="23">
        <f>F21+E21</f>
        <v>255.06</v>
      </c>
      <c r="H21" s="24">
        <f>G21+D21</f>
        <v>1358.52</v>
      </c>
    </row>
    <row r="22" spans="1:8" ht="12.75" customHeight="1">
      <c r="A22" s="16"/>
      <c r="B22" s="12"/>
      <c r="C22" s="12"/>
      <c r="D22" s="12"/>
      <c r="E22" s="12"/>
      <c r="F22" s="12"/>
      <c r="G22" s="12"/>
      <c r="H22" s="14"/>
    </row>
    <row r="24" ht="10.5">
      <c r="A24" s="56" t="s">
        <v>48</v>
      </c>
    </row>
    <row r="25" ht="10.5">
      <c r="A25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26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7" t="s">
        <v>25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/>
    <row r="4" spans="1:8" s="26" customFormat="1" ht="12.75" customHeight="1">
      <c r="A4" s="1" t="s">
        <v>46</v>
      </c>
      <c r="B4" s="29" t="s">
        <v>13</v>
      </c>
      <c r="C4" s="29" t="s">
        <v>13</v>
      </c>
      <c r="D4" s="29" t="s">
        <v>7</v>
      </c>
      <c r="E4" s="29" t="s">
        <v>17</v>
      </c>
      <c r="F4" s="29" t="s">
        <v>17</v>
      </c>
      <c r="G4" s="30" t="s">
        <v>7</v>
      </c>
      <c r="H4" s="30" t="s">
        <v>8</v>
      </c>
    </row>
    <row r="5" spans="1:8" s="26" customFormat="1" ht="12.75" customHeight="1">
      <c r="A5" s="1"/>
      <c r="B5" s="31" t="s">
        <v>18</v>
      </c>
      <c r="C5" s="31" t="s">
        <v>19</v>
      </c>
      <c r="D5" s="31" t="s">
        <v>13</v>
      </c>
      <c r="E5" s="31" t="s">
        <v>20</v>
      </c>
      <c r="F5" s="31" t="s">
        <v>21</v>
      </c>
      <c r="G5" s="32" t="s">
        <v>17</v>
      </c>
      <c r="H5" s="32" t="s">
        <v>7</v>
      </c>
    </row>
    <row r="6" spans="1:8" ht="12.75" customHeight="1">
      <c r="A6" s="1"/>
      <c r="B6" s="22"/>
      <c r="C6" s="22"/>
      <c r="D6" s="22"/>
      <c r="E6" s="22"/>
      <c r="F6" s="22"/>
      <c r="G6" s="22"/>
      <c r="H6" s="25"/>
    </row>
    <row r="7" spans="1:8" ht="12.75" customHeight="1">
      <c r="A7" s="1" t="s">
        <v>42</v>
      </c>
      <c r="B7" s="46">
        <f>276+1404+1437</f>
        <v>3117</v>
      </c>
      <c r="C7" s="46">
        <f>402+276</f>
        <v>678</v>
      </c>
      <c r="D7" s="46">
        <f>C7+B7</f>
        <v>3795</v>
      </c>
      <c r="E7" s="46">
        <f>66+30+33</f>
        <v>129</v>
      </c>
      <c r="F7" s="46">
        <v>0</v>
      </c>
      <c r="G7" s="46">
        <f>F7+E7</f>
        <v>129</v>
      </c>
      <c r="H7" s="48">
        <f>G7+D7</f>
        <v>3924</v>
      </c>
    </row>
    <row r="8" spans="1:8" ht="12.75" customHeight="1">
      <c r="A8" s="1" t="s">
        <v>49</v>
      </c>
      <c r="B8" s="46">
        <f>297+1395+1128</f>
        <v>2820</v>
      </c>
      <c r="C8" s="46">
        <f>372+345</f>
        <v>717</v>
      </c>
      <c r="D8" s="46">
        <f>C8+B8</f>
        <v>3537</v>
      </c>
      <c r="E8" s="46">
        <f>75+63+27</f>
        <v>165</v>
      </c>
      <c r="F8" s="46">
        <v>0</v>
      </c>
      <c r="G8" s="46">
        <f>F8+E8</f>
        <v>165</v>
      </c>
      <c r="H8" s="48">
        <f>G8+D8</f>
        <v>3702</v>
      </c>
    </row>
    <row r="9" spans="1:8" ht="12.75" customHeight="1">
      <c r="A9" s="1" t="s">
        <v>50</v>
      </c>
      <c r="B9" s="46">
        <v>2883</v>
      </c>
      <c r="C9" s="46">
        <v>741</v>
      </c>
      <c r="D9" s="46">
        <f>C9+B9</f>
        <v>3624</v>
      </c>
      <c r="E9" s="46">
        <v>186</v>
      </c>
      <c r="F9" s="46">
        <v>0</v>
      </c>
      <c r="G9" s="46">
        <f>F9+E9</f>
        <v>186</v>
      </c>
      <c r="H9" s="48">
        <f>G9+D9</f>
        <v>3810</v>
      </c>
    </row>
    <row r="10" spans="1:8" ht="12.75" customHeight="1">
      <c r="A10" s="1" t="s">
        <v>52</v>
      </c>
      <c r="B10" s="46">
        <v>3021</v>
      </c>
      <c r="C10" s="46">
        <v>888</v>
      </c>
      <c r="D10" s="46">
        <f>C10+B10</f>
        <v>3909</v>
      </c>
      <c r="E10" s="46">
        <v>240</v>
      </c>
      <c r="F10" s="46">
        <v>0</v>
      </c>
      <c r="G10" s="46">
        <f>F10+E10</f>
        <v>240</v>
      </c>
      <c r="H10" s="48">
        <f>G10+D10</f>
        <v>4149</v>
      </c>
    </row>
    <row r="11" spans="1:8" ht="12.75" customHeight="1">
      <c r="A11" s="1" t="s">
        <v>57</v>
      </c>
      <c r="B11" s="46">
        <v>2379</v>
      </c>
      <c r="C11" s="46">
        <v>921</v>
      </c>
      <c r="D11" s="46">
        <f>C11+B11</f>
        <v>3300</v>
      </c>
      <c r="E11" s="46">
        <v>378</v>
      </c>
      <c r="F11" s="46">
        <v>0</v>
      </c>
      <c r="G11" s="46">
        <f>F11+E11</f>
        <v>378</v>
      </c>
      <c r="H11" s="48">
        <f>G11+D11</f>
        <v>3678</v>
      </c>
    </row>
    <row r="12" spans="1:8" ht="12.75" customHeight="1">
      <c r="A12" s="16"/>
      <c r="B12" s="12"/>
      <c r="C12" s="12"/>
      <c r="D12" s="12"/>
      <c r="E12" s="12"/>
      <c r="F12" s="12"/>
      <c r="G12" s="12"/>
      <c r="H12" s="14"/>
    </row>
    <row r="13" ht="12.75" customHeight="1"/>
    <row r="14" spans="1:8" ht="12.75" customHeight="1">
      <c r="A14" s="16"/>
      <c r="B14"/>
      <c r="C14"/>
      <c r="D14"/>
      <c r="E14"/>
      <c r="F14"/>
      <c r="G14"/>
      <c r="H14"/>
    </row>
    <row r="15" spans="1:8" s="26" customFormat="1" ht="12.75" customHeight="1">
      <c r="A15" s="1" t="s">
        <v>47</v>
      </c>
      <c r="B15" s="29" t="s">
        <v>13</v>
      </c>
      <c r="C15" s="29" t="s">
        <v>13</v>
      </c>
      <c r="D15" s="29" t="s">
        <v>7</v>
      </c>
      <c r="E15" s="29" t="s">
        <v>17</v>
      </c>
      <c r="F15" s="29" t="s">
        <v>22</v>
      </c>
      <c r="G15" s="29" t="s">
        <v>23</v>
      </c>
      <c r="H15" s="30" t="s">
        <v>8</v>
      </c>
    </row>
    <row r="16" spans="2:8" s="26" customFormat="1" ht="12.75" customHeight="1">
      <c r="B16" s="31" t="s">
        <v>18</v>
      </c>
      <c r="C16" s="31" t="s">
        <v>19</v>
      </c>
      <c r="D16" s="31" t="s">
        <v>13</v>
      </c>
      <c r="E16" s="31" t="s">
        <v>20</v>
      </c>
      <c r="F16" s="31" t="s">
        <v>21</v>
      </c>
      <c r="G16" s="31" t="s">
        <v>17</v>
      </c>
      <c r="H16" s="32" t="s">
        <v>7</v>
      </c>
    </row>
    <row r="17" spans="2:8" ht="12.75" customHeight="1">
      <c r="B17" s="7"/>
      <c r="C17" s="7"/>
      <c r="D17" s="7"/>
      <c r="E17" s="7"/>
      <c r="F17" s="7"/>
      <c r="G17" s="7"/>
      <c r="H17" s="9"/>
    </row>
    <row r="18" spans="1:8" ht="12.75" customHeight="1">
      <c r="A18" s="1" t="s">
        <v>42</v>
      </c>
      <c r="B18" s="23">
        <f>SUM(B7*0.95)</f>
        <v>2961.1499999999996</v>
      </c>
      <c r="C18" s="23">
        <f>SUM(C7*1.29)</f>
        <v>874.62</v>
      </c>
      <c r="D18" s="23">
        <f>C18+B18</f>
        <v>3835.7699999999995</v>
      </c>
      <c r="E18" s="23">
        <f>SUM(E7*3.27)</f>
        <v>421.83</v>
      </c>
      <c r="F18" s="23">
        <f>SUM(F7*0)</f>
        <v>0</v>
      </c>
      <c r="G18" s="23">
        <f>F18+E18</f>
        <v>421.83</v>
      </c>
      <c r="H18" s="57">
        <f>G18+D18</f>
        <v>4257.599999999999</v>
      </c>
    </row>
    <row r="19" spans="1:8" ht="12.75" customHeight="1">
      <c r="A19" s="1" t="s">
        <v>49</v>
      </c>
      <c r="B19" s="23">
        <f>SUM(B8*0.95)</f>
        <v>2679</v>
      </c>
      <c r="C19" s="23">
        <f>SUM(C8*1.29)</f>
        <v>924.9300000000001</v>
      </c>
      <c r="D19" s="23">
        <f>C19+B19</f>
        <v>3603.9300000000003</v>
      </c>
      <c r="E19" s="23">
        <f>SUM(E8*3.27)</f>
        <v>539.55</v>
      </c>
      <c r="F19" s="23">
        <f>SUM(F8*0)</f>
        <v>0</v>
      </c>
      <c r="G19" s="23">
        <f>F19+E19</f>
        <v>539.55</v>
      </c>
      <c r="H19" s="57">
        <f>G19+D19</f>
        <v>4143.4800000000005</v>
      </c>
    </row>
    <row r="20" spans="1:8" ht="12.75" customHeight="1">
      <c r="A20" s="1" t="s">
        <v>50</v>
      </c>
      <c r="B20" s="23">
        <f>SUM(B9*0.95)</f>
        <v>2738.85</v>
      </c>
      <c r="C20" s="23">
        <f>SUM(C9*1.29)</f>
        <v>955.89</v>
      </c>
      <c r="D20" s="23">
        <f>C20+B20</f>
        <v>3694.74</v>
      </c>
      <c r="E20" s="23">
        <f>SUM(E9*3.27)</f>
        <v>608.22</v>
      </c>
      <c r="F20" s="23">
        <f>SUM(F9*0)</f>
        <v>0</v>
      </c>
      <c r="G20" s="23">
        <f>F20+E20</f>
        <v>608.22</v>
      </c>
      <c r="H20" s="57">
        <f>G20+D20</f>
        <v>4302.96</v>
      </c>
    </row>
    <row r="21" spans="1:8" ht="12.75" customHeight="1">
      <c r="A21" s="1" t="s">
        <v>52</v>
      </c>
      <c r="B21" s="23">
        <f>SUM(B10*0.95)</f>
        <v>2869.95</v>
      </c>
      <c r="C21" s="23">
        <f>SUM(C10*1.29)</f>
        <v>1145.52</v>
      </c>
      <c r="D21" s="23">
        <f>C21+B21</f>
        <v>4015.47</v>
      </c>
      <c r="E21" s="23">
        <f>SUM(E10*3.27)</f>
        <v>784.8</v>
      </c>
      <c r="F21" s="23">
        <f>SUM(F10*0)</f>
        <v>0</v>
      </c>
      <c r="G21" s="23">
        <f>F21+E21</f>
        <v>784.8</v>
      </c>
      <c r="H21" s="57">
        <f>G21+D21</f>
        <v>4800.2699999999995</v>
      </c>
    </row>
    <row r="22" spans="1:8" ht="12.75" customHeight="1">
      <c r="A22" s="1" t="s">
        <v>57</v>
      </c>
      <c r="B22" s="23">
        <f>SUM(B11*0.95)</f>
        <v>2260.0499999999997</v>
      </c>
      <c r="C22" s="23">
        <f>SUM(C11*1.29)</f>
        <v>1188.0900000000001</v>
      </c>
      <c r="D22" s="23">
        <f>C22+B22</f>
        <v>3448.14</v>
      </c>
      <c r="E22" s="23">
        <f>SUM(E11*3.27)</f>
        <v>1236.06</v>
      </c>
      <c r="F22" s="23">
        <f>SUM(F11*0)</f>
        <v>0</v>
      </c>
      <c r="G22" s="23">
        <f>F22+E22</f>
        <v>1236.06</v>
      </c>
      <c r="H22" s="57">
        <f>G22+D22</f>
        <v>4684.2</v>
      </c>
    </row>
    <row r="23" spans="1:8" ht="12.75" customHeight="1">
      <c r="A23" s="16"/>
      <c r="B23" s="12"/>
      <c r="C23" s="12"/>
      <c r="D23" s="12"/>
      <c r="E23" s="12"/>
      <c r="F23" s="12"/>
      <c r="G23" s="12"/>
      <c r="H23" s="14"/>
    </row>
    <row r="25" ht="10.5">
      <c r="A25" s="56" t="s">
        <v>48</v>
      </c>
    </row>
    <row r="26" ht="10.5">
      <c r="A26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160"/>
  <sheetViews>
    <sheetView workbookViewId="0" topLeftCell="A1">
      <selection activeCell="A14" sqref="A14"/>
    </sheetView>
  </sheetViews>
  <sheetFormatPr defaultColWidth="9.140625" defaultRowHeight="10.5" customHeight="1"/>
  <cols>
    <col min="1" max="1" width="18.7109375" style="26" customWidth="1"/>
    <col min="2" max="17" width="7.28125" style="2" customWidth="1"/>
    <col min="18" max="16384" width="9.140625" style="2" customWidth="1"/>
  </cols>
  <sheetData>
    <row r="1" ht="12.75" customHeight="1">
      <c r="A1" s="17" t="s">
        <v>26</v>
      </c>
    </row>
    <row r="2" ht="12.75" customHeight="1">
      <c r="A2" s="17"/>
    </row>
    <row r="3" spans="1:18" s="26" customFormat="1" ht="12.75" customHeight="1">
      <c r="A3" s="16"/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93" t="s">
        <v>6</v>
      </c>
      <c r="M3" s="94"/>
      <c r="N3" s="93" t="s">
        <v>38</v>
      </c>
      <c r="O3" s="94"/>
      <c r="P3" s="35" t="s">
        <v>7</v>
      </c>
      <c r="Q3" s="36"/>
      <c r="R3" s="30" t="s">
        <v>8</v>
      </c>
    </row>
    <row r="4" spans="1:18" s="26" customFormat="1" ht="12.75" customHeight="1">
      <c r="A4" s="1" t="s">
        <v>53</v>
      </c>
      <c r="B4" s="31" t="s">
        <v>9</v>
      </c>
      <c r="C4" s="34" t="s">
        <v>10</v>
      </c>
      <c r="D4" s="31" t="s">
        <v>9</v>
      </c>
      <c r="E4" s="34" t="s">
        <v>10</v>
      </c>
      <c r="F4" s="31" t="s">
        <v>9</v>
      </c>
      <c r="G4" s="34" t="s">
        <v>10</v>
      </c>
      <c r="H4" s="31" t="s">
        <v>9</v>
      </c>
      <c r="I4" s="34" t="s">
        <v>10</v>
      </c>
      <c r="J4" s="31" t="s">
        <v>9</v>
      </c>
      <c r="K4" s="34" t="s">
        <v>10</v>
      </c>
      <c r="L4" s="31" t="s">
        <v>9</v>
      </c>
      <c r="M4" s="34" t="s">
        <v>10</v>
      </c>
      <c r="N4" s="31" t="s">
        <v>9</v>
      </c>
      <c r="O4" s="34" t="s">
        <v>10</v>
      </c>
      <c r="P4" s="31" t="s">
        <v>9</v>
      </c>
      <c r="Q4" s="34" t="s">
        <v>10</v>
      </c>
      <c r="R4" s="32" t="s">
        <v>7</v>
      </c>
    </row>
    <row r="5" spans="1:18" ht="12.75" customHeight="1">
      <c r="A5" s="16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77"/>
      <c r="O5" s="77"/>
      <c r="P5" s="3"/>
      <c r="Q5" s="4"/>
      <c r="R5" s="10"/>
    </row>
    <row r="6" spans="1:18" ht="12.75" customHeight="1">
      <c r="A6" s="1" t="s">
        <v>42</v>
      </c>
      <c r="B6" s="41">
        <v>8</v>
      </c>
      <c r="C6" s="43">
        <v>13</v>
      </c>
      <c r="D6" s="41">
        <v>1</v>
      </c>
      <c r="E6" s="43">
        <v>0</v>
      </c>
      <c r="F6" s="41">
        <v>1</v>
      </c>
      <c r="G6" s="43">
        <v>0</v>
      </c>
      <c r="H6" s="41">
        <v>0</v>
      </c>
      <c r="I6" s="43">
        <v>2</v>
      </c>
      <c r="J6" s="41">
        <v>1</v>
      </c>
      <c r="K6" s="43">
        <v>1</v>
      </c>
      <c r="L6" s="41">
        <v>0</v>
      </c>
      <c r="M6" s="43">
        <v>0</v>
      </c>
      <c r="N6" s="42">
        <v>0</v>
      </c>
      <c r="O6" s="42">
        <v>0</v>
      </c>
      <c r="P6" s="41">
        <f aca="true" t="shared" si="0" ref="P6:Q10">N6+L6+J6+H6+F6+D6+B6</f>
        <v>11</v>
      </c>
      <c r="Q6" s="43">
        <f t="shared" si="0"/>
        <v>16</v>
      </c>
      <c r="R6" s="44">
        <f>Q6+P6</f>
        <v>27</v>
      </c>
    </row>
    <row r="7" spans="1:18" ht="12.75" customHeight="1">
      <c r="A7" s="1" t="s">
        <v>49</v>
      </c>
      <c r="B7" s="41">
        <v>15</v>
      </c>
      <c r="C7" s="43">
        <v>7</v>
      </c>
      <c r="D7" s="41">
        <v>0</v>
      </c>
      <c r="E7" s="43">
        <v>3</v>
      </c>
      <c r="F7" s="41">
        <v>0</v>
      </c>
      <c r="G7" s="43">
        <v>0</v>
      </c>
      <c r="H7" s="41">
        <v>1</v>
      </c>
      <c r="I7" s="43">
        <v>1</v>
      </c>
      <c r="J7" s="41">
        <v>0</v>
      </c>
      <c r="K7" s="43">
        <v>0</v>
      </c>
      <c r="L7" s="41">
        <v>2</v>
      </c>
      <c r="M7" s="43">
        <v>1</v>
      </c>
      <c r="N7" s="42">
        <v>0</v>
      </c>
      <c r="O7" s="42">
        <v>0</v>
      </c>
      <c r="P7" s="41">
        <f t="shared" si="0"/>
        <v>18</v>
      </c>
      <c r="Q7" s="43">
        <f t="shared" si="0"/>
        <v>12</v>
      </c>
      <c r="R7" s="44">
        <f>Q7+P7</f>
        <v>30</v>
      </c>
    </row>
    <row r="8" spans="1:18" ht="12.75" customHeight="1">
      <c r="A8" s="1" t="s">
        <v>50</v>
      </c>
      <c r="B8" s="41">
        <v>8</v>
      </c>
      <c r="C8" s="43">
        <v>7</v>
      </c>
      <c r="D8" s="41">
        <v>1</v>
      </c>
      <c r="E8" s="43">
        <v>2</v>
      </c>
      <c r="F8" s="41">
        <v>1</v>
      </c>
      <c r="G8" s="43">
        <v>1</v>
      </c>
      <c r="H8" s="41">
        <v>2</v>
      </c>
      <c r="I8" s="43">
        <v>2</v>
      </c>
      <c r="J8" s="41">
        <v>0</v>
      </c>
      <c r="K8" s="43">
        <v>0</v>
      </c>
      <c r="L8" s="41">
        <v>1</v>
      </c>
      <c r="M8" s="43">
        <v>1</v>
      </c>
      <c r="N8" s="42">
        <v>0</v>
      </c>
      <c r="O8" s="42">
        <v>0</v>
      </c>
      <c r="P8" s="41">
        <f t="shared" si="0"/>
        <v>13</v>
      </c>
      <c r="Q8" s="43">
        <f t="shared" si="0"/>
        <v>13</v>
      </c>
      <c r="R8" s="44">
        <f>Q8+P8</f>
        <v>26</v>
      </c>
    </row>
    <row r="9" spans="1:18" ht="12.75" customHeight="1">
      <c r="A9" s="1" t="s">
        <v>52</v>
      </c>
      <c r="B9" s="41">
        <v>22</v>
      </c>
      <c r="C9" s="43">
        <v>9</v>
      </c>
      <c r="D9" s="41">
        <v>2</v>
      </c>
      <c r="E9" s="43">
        <v>1</v>
      </c>
      <c r="F9" s="41">
        <v>0</v>
      </c>
      <c r="G9" s="43">
        <v>0</v>
      </c>
      <c r="H9" s="41">
        <v>0</v>
      </c>
      <c r="I9" s="43">
        <v>1</v>
      </c>
      <c r="J9" s="41">
        <v>0</v>
      </c>
      <c r="K9" s="43">
        <v>0</v>
      </c>
      <c r="L9" s="41">
        <v>3</v>
      </c>
      <c r="M9" s="43">
        <v>0</v>
      </c>
      <c r="N9" s="42">
        <v>0</v>
      </c>
      <c r="O9" s="42">
        <v>0</v>
      </c>
      <c r="P9" s="41">
        <f t="shared" si="0"/>
        <v>27</v>
      </c>
      <c r="Q9" s="43">
        <f t="shared" si="0"/>
        <v>11</v>
      </c>
      <c r="R9" s="44">
        <f>Q9+P9</f>
        <v>38</v>
      </c>
    </row>
    <row r="10" spans="1:18" ht="12.75" customHeight="1">
      <c r="A10" s="1" t="s">
        <v>57</v>
      </c>
      <c r="B10" s="41">
        <v>15</v>
      </c>
      <c r="C10" s="43">
        <v>9</v>
      </c>
      <c r="D10" s="41">
        <v>3</v>
      </c>
      <c r="E10" s="43">
        <v>0</v>
      </c>
      <c r="F10" s="41">
        <v>0</v>
      </c>
      <c r="G10" s="43">
        <v>0</v>
      </c>
      <c r="H10" s="41">
        <v>1</v>
      </c>
      <c r="I10" s="43">
        <v>0</v>
      </c>
      <c r="J10" s="41">
        <v>0</v>
      </c>
      <c r="K10" s="43">
        <v>0</v>
      </c>
      <c r="L10" s="41">
        <v>2</v>
      </c>
      <c r="M10" s="43">
        <v>0</v>
      </c>
      <c r="N10" s="42">
        <v>0</v>
      </c>
      <c r="O10" s="42">
        <v>1</v>
      </c>
      <c r="P10" s="41">
        <f t="shared" si="0"/>
        <v>21</v>
      </c>
      <c r="Q10" s="43">
        <f t="shared" si="0"/>
        <v>10</v>
      </c>
      <c r="R10" s="44">
        <f>Q10+P10</f>
        <v>31</v>
      </c>
    </row>
    <row r="11" spans="2:18" ht="12.75" customHeight="1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21"/>
      <c r="O11" s="21"/>
      <c r="P11" s="12"/>
      <c r="Q11" s="13"/>
      <c r="R11" s="14"/>
    </row>
    <row r="12" ht="12.75" customHeight="1"/>
    <row r="13" ht="12.75" customHeight="1">
      <c r="A13" s="28" t="s">
        <v>13</v>
      </c>
    </row>
    <row r="14" spans="1:18" s="26" customFormat="1" ht="12.75" customHeight="1">
      <c r="A14" s="1" t="s">
        <v>11</v>
      </c>
      <c r="B14" s="35" t="s">
        <v>1</v>
      </c>
      <c r="C14" s="36"/>
      <c r="D14" s="35" t="s">
        <v>2</v>
      </c>
      <c r="E14" s="36"/>
      <c r="F14" s="35" t="s">
        <v>3</v>
      </c>
      <c r="G14" s="36"/>
      <c r="H14" s="35" t="s">
        <v>4</v>
      </c>
      <c r="I14" s="36"/>
      <c r="J14" s="35" t="s">
        <v>5</v>
      </c>
      <c r="K14" s="36"/>
      <c r="L14" s="93" t="s">
        <v>6</v>
      </c>
      <c r="M14" s="94"/>
      <c r="N14" s="93" t="s">
        <v>38</v>
      </c>
      <c r="O14" s="94"/>
      <c r="P14" s="35" t="s">
        <v>7</v>
      </c>
      <c r="Q14" s="36"/>
      <c r="R14" s="30" t="s">
        <v>8</v>
      </c>
    </row>
    <row r="15" spans="1:18" s="26" customFormat="1" ht="12.75" customHeight="1">
      <c r="A15" s="1" t="s">
        <v>12</v>
      </c>
      <c r="B15" s="31" t="s">
        <v>9</v>
      </c>
      <c r="C15" s="34" t="s">
        <v>10</v>
      </c>
      <c r="D15" s="31" t="s">
        <v>9</v>
      </c>
      <c r="E15" s="34" t="s">
        <v>10</v>
      </c>
      <c r="F15" s="31" t="s">
        <v>9</v>
      </c>
      <c r="G15" s="34" t="s">
        <v>10</v>
      </c>
      <c r="H15" s="31" t="s">
        <v>9</v>
      </c>
      <c r="I15" s="34" t="s">
        <v>10</v>
      </c>
      <c r="J15" s="31" t="s">
        <v>9</v>
      </c>
      <c r="K15" s="34" t="s">
        <v>10</v>
      </c>
      <c r="L15" s="31" t="s">
        <v>9</v>
      </c>
      <c r="M15" s="34" t="s">
        <v>10</v>
      </c>
      <c r="N15" s="31" t="s">
        <v>9</v>
      </c>
      <c r="O15" s="34" t="s">
        <v>10</v>
      </c>
      <c r="P15" s="31" t="s">
        <v>9</v>
      </c>
      <c r="Q15" s="34" t="s">
        <v>10</v>
      </c>
      <c r="R15" s="32" t="s">
        <v>7</v>
      </c>
    </row>
    <row r="16" spans="1:18" ht="12.75" customHeight="1">
      <c r="A16" s="1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  <c r="N16" s="45"/>
      <c r="O16" s="45"/>
      <c r="P16" s="7"/>
      <c r="Q16" s="8"/>
      <c r="R16" s="9"/>
    </row>
    <row r="17" spans="1:18" s="11" customFormat="1" ht="12.75" customHeight="1">
      <c r="A17" s="1" t="s">
        <v>42</v>
      </c>
      <c r="B17" s="41">
        <v>43</v>
      </c>
      <c r="C17" s="42">
        <v>33</v>
      </c>
      <c r="D17" s="41">
        <v>3</v>
      </c>
      <c r="E17" s="42">
        <v>4</v>
      </c>
      <c r="F17" s="41">
        <v>3</v>
      </c>
      <c r="G17" s="42">
        <v>2</v>
      </c>
      <c r="H17" s="41">
        <v>2</v>
      </c>
      <c r="I17" s="42">
        <v>4</v>
      </c>
      <c r="J17" s="41">
        <v>3</v>
      </c>
      <c r="K17" s="42">
        <v>2</v>
      </c>
      <c r="L17" s="41">
        <v>6</v>
      </c>
      <c r="M17" s="42">
        <v>1</v>
      </c>
      <c r="N17" s="41">
        <v>0</v>
      </c>
      <c r="O17" s="42">
        <v>0</v>
      </c>
      <c r="P17" s="41">
        <f aca="true" t="shared" si="1" ref="P17:Q21">N17+L17+J17+H17+F17+D17+B17</f>
        <v>60</v>
      </c>
      <c r="Q17" s="43">
        <f t="shared" si="1"/>
        <v>46</v>
      </c>
      <c r="R17" s="43">
        <f>Q17+P17</f>
        <v>106</v>
      </c>
    </row>
    <row r="18" spans="1:18" s="11" customFormat="1" ht="12.75" customHeight="1">
      <c r="A18" s="1" t="s">
        <v>49</v>
      </c>
      <c r="B18" s="41">
        <v>51</v>
      </c>
      <c r="C18" s="42">
        <v>28</v>
      </c>
      <c r="D18" s="41">
        <v>8</v>
      </c>
      <c r="E18" s="42">
        <v>8</v>
      </c>
      <c r="F18" s="41">
        <v>1</v>
      </c>
      <c r="G18" s="42">
        <v>2</v>
      </c>
      <c r="H18" s="41">
        <v>1</v>
      </c>
      <c r="I18" s="42">
        <v>2</v>
      </c>
      <c r="J18" s="41">
        <v>1</v>
      </c>
      <c r="K18" s="42">
        <v>0</v>
      </c>
      <c r="L18" s="41">
        <v>4</v>
      </c>
      <c r="M18" s="42">
        <v>1</v>
      </c>
      <c r="N18" s="41">
        <v>0</v>
      </c>
      <c r="O18" s="42">
        <v>0</v>
      </c>
      <c r="P18" s="41">
        <f t="shared" si="1"/>
        <v>66</v>
      </c>
      <c r="Q18" s="43">
        <f t="shared" si="1"/>
        <v>41</v>
      </c>
      <c r="R18" s="43">
        <f>Q18+P18</f>
        <v>107</v>
      </c>
    </row>
    <row r="19" spans="1:18" s="11" customFormat="1" ht="12.75" customHeight="1">
      <c r="A19" s="1" t="s">
        <v>50</v>
      </c>
      <c r="B19" s="41">
        <v>46</v>
      </c>
      <c r="C19" s="42">
        <v>31</v>
      </c>
      <c r="D19" s="41">
        <v>8</v>
      </c>
      <c r="E19" s="42">
        <v>6</v>
      </c>
      <c r="F19" s="41">
        <v>3</v>
      </c>
      <c r="G19" s="42">
        <v>2</v>
      </c>
      <c r="H19" s="41">
        <v>4</v>
      </c>
      <c r="I19" s="42">
        <v>2</v>
      </c>
      <c r="J19" s="41">
        <v>3</v>
      </c>
      <c r="K19" s="42">
        <v>0</v>
      </c>
      <c r="L19" s="41">
        <v>6</v>
      </c>
      <c r="M19" s="42">
        <v>1</v>
      </c>
      <c r="N19" s="41">
        <v>1</v>
      </c>
      <c r="O19" s="42">
        <v>0</v>
      </c>
      <c r="P19" s="41">
        <f t="shared" si="1"/>
        <v>71</v>
      </c>
      <c r="Q19" s="43">
        <f t="shared" si="1"/>
        <v>42</v>
      </c>
      <c r="R19" s="43">
        <f>Q19+P19</f>
        <v>113</v>
      </c>
    </row>
    <row r="20" spans="1:18" s="11" customFormat="1" ht="12.75" customHeight="1">
      <c r="A20" s="1" t="s">
        <v>52</v>
      </c>
      <c r="B20" s="41">
        <v>67</v>
      </c>
      <c r="C20" s="42">
        <v>25</v>
      </c>
      <c r="D20" s="41">
        <v>11</v>
      </c>
      <c r="E20" s="42">
        <v>11</v>
      </c>
      <c r="F20" s="41">
        <v>2</v>
      </c>
      <c r="G20" s="42">
        <v>2</v>
      </c>
      <c r="H20" s="41">
        <v>3</v>
      </c>
      <c r="I20" s="42">
        <v>3</v>
      </c>
      <c r="J20" s="41">
        <v>2</v>
      </c>
      <c r="K20" s="42">
        <v>0</v>
      </c>
      <c r="L20" s="41">
        <v>11</v>
      </c>
      <c r="M20" s="42">
        <v>1</v>
      </c>
      <c r="N20" s="41">
        <v>1</v>
      </c>
      <c r="O20" s="42">
        <v>0</v>
      </c>
      <c r="P20" s="41">
        <f t="shared" si="1"/>
        <v>97</v>
      </c>
      <c r="Q20" s="43">
        <f t="shared" si="1"/>
        <v>42</v>
      </c>
      <c r="R20" s="43">
        <f>Q20+P20</f>
        <v>139</v>
      </c>
    </row>
    <row r="21" spans="1:18" s="11" customFormat="1" ht="12.75" customHeight="1">
      <c r="A21" s="1" t="s">
        <v>57</v>
      </c>
      <c r="B21" s="41">
        <v>60</v>
      </c>
      <c r="C21" s="42">
        <v>25</v>
      </c>
      <c r="D21" s="41">
        <v>4</v>
      </c>
      <c r="E21" s="42">
        <v>12</v>
      </c>
      <c r="F21" s="41">
        <v>3</v>
      </c>
      <c r="G21" s="42">
        <v>3</v>
      </c>
      <c r="H21" s="41">
        <v>4</v>
      </c>
      <c r="I21" s="42">
        <v>0</v>
      </c>
      <c r="J21" s="41">
        <v>1</v>
      </c>
      <c r="K21" s="42">
        <v>0</v>
      </c>
      <c r="L21" s="41">
        <v>9</v>
      </c>
      <c r="M21" s="42">
        <v>2</v>
      </c>
      <c r="N21" s="41">
        <v>2</v>
      </c>
      <c r="O21" s="42">
        <v>0</v>
      </c>
      <c r="P21" s="41">
        <f t="shared" si="1"/>
        <v>83</v>
      </c>
      <c r="Q21" s="43">
        <f t="shared" si="1"/>
        <v>42</v>
      </c>
      <c r="R21" s="43">
        <f>Q21+P21</f>
        <v>125</v>
      </c>
    </row>
    <row r="22" spans="2:18" ht="12.75" customHeight="1"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  <c r="N22" s="12"/>
      <c r="O22" s="21"/>
      <c r="P22" s="12"/>
      <c r="Q22" s="21"/>
      <c r="R22" s="14"/>
    </row>
    <row r="23" ht="12.75">
      <c r="A23" s="17"/>
    </row>
    <row r="24" ht="10.5">
      <c r="A24" s="73"/>
    </row>
    <row r="26" ht="10.5"/>
    <row r="27" ht="10.5" customHeight="1">
      <c r="A27" s="73"/>
    </row>
    <row r="28" ht="10.5" customHeight="1">
      <c r="A28" s="73"/>
    </row>
    <row r="34" ht="10.5"/>
    <row r="36" ht="10.5"/>
    <row r="43" ht="10.5"/>
    <row r="64" ht="10.5"/>
    <row r="65" ht="10.5"/>
    <row r="67" ht="10.5"/>
    <row r="83" s="11" customFormat="1" ht="10.5" customHeight="1">
      <c r="A83" s="27"/>
    </row>
    <row r="87" ht="10.5"/>
    <row r="88" ht="10.5"/>
    <row r="90" ht="10.5"/>
    <row r="105" s="11" customFormat="1" ht="10.5" customHeight="1">
      <c r="A105" s="27"/>
    </row>
    <row r="109" ht="10.5"/>
    <row r="110" ht="10.5"/>
    <row r="112" ht="10.5"/>
    <row r="127" s="11" customFormat="1" ht="10.5" customHeight="1">
      <c r="A127" s="27"/>
    </row>
    <row r="130" ht="10.5"/>
    <row r="131" ht="10.5"/>
    <row r="132" ht="10.5"/>
    <row r="134" ht="10.5"/>
    <row r="141" ht="10.5"/>
    <row r="149" s="11" customFormat="1" ht="10.5" customHeight="1">
      <c r="A149" s="27"/>
    </row>
    <row r="152" ht="10.5"/>
    <row r="160" s="11" customFormat="1" ht="10.5" customHeight="1">
      <c r="A160" s="27"/>
    </row>
    <row r="163" ht="10.5"/>
    <row r="164" ht="10.5"/>
    <row r="165" ht="10.5"/>
    <row r="167" ht="10.5"/>
    <row r="175" ht="10.5"/>
    <row r="177" ht="10.5"/>
    <row r="184" ht="10.5"/>
  </sheetData>
  <mergeCells count="4">
    <mergeCell ref="N3:O3"/>
    <mergeCell ref="N14:O14"/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6" r:id="rId3"/>
  <headerFooter alignWithMargins="0">
    <oddHeader>&amp;CThe University of Alabama in Huntsville
Unit Academic Reports 
</oddHeader>
    <oddFooter xml:space="preserve">&amp;L&amp;8Office of Institutional Research
&amp;D (np)
&amp;F 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35"/>
  <sheetViews>
    <sheetView workbookViewId="0" topLeftCell="A1">
      <selection activeCell="A14" sqref="A14"/>
    </sheetView>
  </sheetViews>
  <sheetFormatPr defaultColWidth="9.140625" defaultRowHeight="12.75"/>
  <cols>
    <col min="1" max="1" width="25.7109375" style="26" customWidth="1"/>
    <col min="2" max="8" width="12.7109375" style="2" customWidth="1"/>
    <col min="9" max="16384" width="9.140625" style="2" customWidth="1"/>
  </cols>
  <sheetData>
    <row r="1" spans="1:8" ht="12.75" customHeight="1">
      <c r="A1" s="17" t="s">
        <v>26</v>
      </c>
      <c r="B1" s="11"/>
      <c r="C1" s="11"/>
      <c r="D1" s="11"/>
      <c r="E1" s="11"/>
      <c r="F1" s="11"/>
      <c r="G1" s="11"/>
      <c r="H1" s="11"/>
    </row>
    <row r="2" ht="12.75" customHeight="1"/>
    <row r="3" ht="12.75" customHeight="1">
      <c r="A3" s="28" t="s">
        <v>13</v>
      </c>
    </row>
    <row r="4" spans="1:4" s="26" customFormat="1" ht="12.75" customHeight="1">
      <c r="A4" s="1" t="s">
        <v>11</v>
      </c>
      <c r="B4" s="33" t="s">
        <v>16</v>
      </c>
      <c r="C4" s="33" t="s">
        <v>14</v>
      </c>
      <c r="D4" s="33" t="s">
        <v>15</v>
      </c>
    </row>
    <row r="5" spans="2:4" ht="12.75" customHeight="1">
      <c r="B5" s="10"/>
      <c r="C5" s="10"/>
      <c r="D5" s="10"/>
    </row>
    <row r="6" spans="1:4" ht="12.75" customHeight="1">
      <c r="A6" s="1" t="s">
        <v>42</v>
      </c>
      <c r="B6" s="9">
        <v>56</v>
      </c>
      <c r="C6" s="9">
        <f>FIN!R17</f>
        <v>106</v>
      </c>
      <c r="D6" s="9">
        <v>107</v>
      </c>
    </row>
    <row r="7" spans="1:4" ht="12.75" customHeight="1">
      <c r="A7" s="1" t="s">
        <v>49</v>
      </c>
      <c r="B7" s="9">
        <v>45</v>
      </c>
      <c r="C7" s="9">
        <f>FIN!R18</f>
        <v>107</v>
      </c>
      <c r="D7" s="9">
        <v>99</v>
      </c>
    </row>
    <row r="8" spans="1:4" ht="12.75" customHeight="1">
      <c r="A8" s="1" t="s">
        <v>50</v>
      </c>
      <c r="B8" s="9">
        <v>50</v>
      </c>
      <c r="C8" s="9">
        <f>FIN!R19</f>
        <v>113</v>
      </c>
      <c r="D8" s="9">
        <v>120</v>
      </c>
    </row>
    <row r="9" spans="1:4" ht="12.75" customHeight="1">
      <c r="A9" s="1" t="s">
        <v>52</v>
      </c>
      <c r="B9" s="9">
        <v>66</v>
      </c>
      <c r="C9" s="9">
        <f>FIN!R20</f>
        <v>139</v>
      </c>
      <c r="D9" s="9">
        <v>126</v>
      </c>
    </row>
    <row r="10" spans="1:4" ht="12.75" customHeight="1">
      <c r="A10" s="1" t="s">
        <v>57</v>
      </c>
      <c r="B10" s="9">
        <v>61</v>
      </c>
      <c r="C10" s="9">
        <f>FIN!R21</f>
        <v>125</v>
      </c>
      <c r="D10" s="9">
        <v>136</v>
      </c>
    </row>
    <row r="11" spans="1:4" ht="12.75" customHeight="1">
      <c r="A11" s="1"/>
      <c r="B11" s="6"/>
      <c r="C11" s="6"/>
      <c r="D11" s="6"/>
    </row>
    <row r="12" ht="12.75" customHeight="1">
      <c r="A12" s="16"/>
    </row>
    <row r="13" ht="12.75" customHeight="1"/>
    <row r="14" spans="1:8" s="26" customFormat="1" ht="12.75" customHeight="1">
      <c r="A14" s="1" t="s">
        <v>46</v>
      </c>
      <c r="B14" s="29" t="s">
        <v>13</v>
      </c>
      <c r="C14" s="29" t="s">
        <v>13</v>
      </c>
      <c r="D14" s="29" t="s">
        <v>7</v>
      </c>
      <c r="E14" s="29" t="s">
        <v>17</v>
      </c>
      <c r="F14" s="29" t="s">
        <v>17</v>
      </c>
      <c r="G14" s="30" t="s">
        <v>7</v>
      </c>
      <c r="H14" s="30" t="s">
        <v>8</v>
      </c>
    </row>
    <row r="15" spans="1:8" s="26" customFormat="1" ht="12.75" customHeight="1">
      <c r="A15" s="1"/>
      <c r="B15" s="31" t="s">
        <v>18</v>
      </c>
      <c r="C15" s="31" t="s">
        <v>19</v>
      </c>
      <c r="D15" s="31" t="s">
        <v>13</v>
      </c>
      <c r="E15" s="31" t="s">
        <v>20</v>
      </c>
      <c r="F15" s="31" t="s">
        <v>21</v>
      </c>
      <c r="G15" s="32" t="s">
        <v>17</v>
      </c>
      <c r="H15" s="32" t="s">
        <v>7</v>
      </c>
    </row>
    <row r="16" spans="2:8" ht="12.75" customHeight="1">
      <c r="B16" s="3"/>
      <c r="C16" s="3"/>
      <c r="D16" s="3"/>
      <c r="E16" s="3"/>
      <c r="F16" s="3"/>
      <c r="G16" s="3"/>
      <c r="H16" s="10"/>
    </row>
    <row r="17" spans="1:8" ht="12.75" customHeight="1">
      <c r="A17" s="1" t="s">
        <v>42</v>
      </c>
      <c r="B17" s="46">
        <f>93</f>
        <v>93</v>
      </c>
      <c r="C17" s="46">
        <f>210+744+840</f>
        <v>1794</v>
      </c>
      <c r="D17" s="46">
        <f>C17+B17</f>
        <v>1887</v>
      </c>
      <c r="E17" s="46">
        <f>78+57</f>
        <v>135</v>
      </c>
      <c r="F17" s="46">
        <v>0</v>
      </c>
      <c r="G17" s="46">
        <f>F17+E17</f>
        <v>135</v>
      </c>
      <c r="H17" s="48">
        <f>G17+D17</f>
        <v>2022</v>
      </c>
    </row>
    <row r="18" spans="1:8" ht="12.75" customHeight="1">
      <c r="A18" s="1" t="s">
        <v>49</v>
      </c>
      <c r="B18" s="46">
        <f>105+87</f>
        <v>192</v>
      </c>
      <c r="C18" s="46">
        <f>144+975+867</f>
        <v>1986</v>
      </c>
      <c r="D18" s="46">
        <f>C18+B18</f>
        <v>2178</v>
      </c>
      <c r="E18" s="46">
        <f>21+105+63</f>
        <v>189</v>
      </c>
      <c r="F18" s="46">
        <v>0</v>
      </c>
      <c r="G18" s="46">
        <f>F18+E18</f>
        <v>189</v>
      </c>
      <c r="H18" s="48">
        <f>G18+D18</f>
        <v>2367</v>
      </c>
    </row>
    <row r="19" spans="1:8" ht="12.75" customHeight="1">
      <c r="A19" s="1" t="s">
        <v>50</v>
      </c>
      <c r="B19" s="46">
        <v>195</v>
      </c>
      <c r="C19" s="46">
        <v>1564</v>
      </c>
      <c r="D19" s="46">
        <f>C19+B19</f>
        <v>1759</v>
      </c>
      <c r="E19" s="46">
        <v>216</v>
      </c>
      <c r="F19" s="46">
        <v>0</v>
      </c>
      <c r="G19" s="46">
        <f>F19+E19</f>
        <v>216</v>
      </c>
      <c r="H19" s="48">
        <f>G19+D19</f>
        <v>1975</v>
      </c>
    </row>
    <row r="20" spans="1:8" ht="12.75" customHeight="1">
      <c r="A20" s="1" t="s">
        <v>52</v>
      </c>
      <c r="B20" s="46">
        <v>156</v>
      </c>
      <c r="C20" s="46">
        <v>1503</v>
      </c>
      <c r="D20" s="46">
        <f>C20+B20</f>
        <v>1659</v>
      </c>
      <c r="E20" s="46">
        <v>360</v>
      </c>
      <c r="F20" s="46">
        <v>0</v>
      </c>
      <c r="G20" s="46">
        <f>F20+E20</f>
        <v>360</v>
      </c>
      <c r="H20" s="48">
        <f>G20+D20</f>
        <v>2019</v>
      </c>
    </row>
    <row r="21" spans="1:8" ht="12.75" customHeight="1">
      <c r="A21" s="1" t="s">
        <v>57</v>
      </c>
      <c r="B21" s="46">
        <v>156</v>
      </c>
      <c r="C21" s="46">
        <v>1923</v>
      </c>
      <c r="D21" s="46">
        <f>C21+B21</f>
        <v>2079</v>
      </c>
      <c r="E21" s="46">
        <v>445</v>
      </c>
      <c r="F21" s="46">
        <v>0</v>
      </c>
      <c r="G21" s="46">
        <f>F21+E21</f>
        <v>445</v>
      </c>
      <c r="H21" s="48">
        <f>G21+D21</f>
        <v>2524</v>
      </c>
    </row>
    <row r="22" spans="2:8" ht="12.75" customHeight="1">
      <c r="B22" s="14"/>
      <c r="C22" s="14"/>
      <c r="D22" s="14"/>
      <c r="E22" s="14"/>
      <c r="F22" s="14"/>
      <c r="G22" s="14"/>
      <c r="H22" s="14"/>
    </row>
    <row r="23" spans="1:8" ht="12.75" customHeight="1">
      <c r="A23" s="16"/>
      <c r="B23"/>
      <c r="C23"/>
      <c r="D23"/>
      <c r="E23"/>
      <c r="F23"/>
      <c r="G23"/>
      <c r="H23"/>
    </row>
    <row r="24" spans="1:8" s="26" customFormat="1" ht="12.75" customHeight="1">
      <c r="A24" s="1" t="s">
        <v>47</v>
      </c>
      <c r="B24" s="29" t="s">
        <v>13</v>
      </c>
      <c r="C24" s="29" t="s">
        <v>13</v>
      </c>
      <c r="D24" s="29" t="s">
        <v>7</v>
      </c>
      <c r="E24" s="29" t="s">
        <v>17</v>
      </c>
      <c r="F24" s="29" t="s">
        <v>22</v>
      </c>
      <c r="G24" s="29" t="s">
        <v>23</v>
      </c>
      <c r="H24" s="30" t="s">
        <v>8</v>
      </c>
    </row>
    <row r="25" spans="2:8" s="26" customFormat="1" ht="12.75" customHeight="1">
      <c r="B25" s="31" t="s">
        <v>18</v>
      </c>
      <c r="C25" s="31" t="s">
        <v>19</v>
      </c>
      <c r="D25" s="31" t="s">
        <v>13</v>
      </c>
      <c r="E25" s="31" t="s">
        <v>20</v>
      </c>
      <c r="F25" s="31" t="s">
        <v>21</v>
      </c>
      <c r="G25" s="31" t="s">
        <v>17</v>
      </c>
      <c r="H25" s="32" t="s">
        <v>7</v>
      </c>
    </row>
    <row r="26" spans="2:8" ht="12.75" customHeight="1">
      <c r="B26" s="7"/>
      <c r="C26" s="7"/>
      <c r="D26" s="7"/>
      <c r="E26" s="7"/>
      <c r="F26" s="7"/>
      <c r="G26" s="7"/>
      <c r="H26" s="9"/>
    </row>
    <row r="27" spans="1:8" ht="12.75" customHeight="1">
      <c r="A27" s="1" t="s">
        <v>42</v>
      </c>
      <c r="B27" s="23">
        <f>SUM(B17*0.95)</f>
        <v>88.35</v>
      </c>
      <c r="C27" s="23">
        <f>SUM(C17*1.29)</f>
        <v>2314.26</v>
      </c>
      <c r="D27" s="23">
        <f>C27+B27</f>
        <v>2402.61</v>
      </c>
      <c r="E27" s="23">
        <f>SUM(E17*3.27)</f>
        <v>441.45</v>
      </c>
      <c r="F27" s="23">
        <f>SUM(F17*0)</f>
        <v>0</v>
      </c>
      <c r="G27" s="23">
        <f>F27+E27</f>
        <v>441.45</v>
      </c>
      <c r="H27" s="24">
        <f>G27+D27</f>
        <v>2844.06</v>
      </c>
    </row>
    <row r="28" spans="1:8" ht="12.75" customHeight="1">
      <c r="A28" s="1" t="s">
        <v>49</v>
      </c>
      <c r="B28" s="23">
        <f>SUM(B18*0.95)</f>
        <v>182.39999999999998</v>
      </c>
      <c r="C28" s="23">
        <f>SUM(C18*1.29)</f>
        <v>2561.94</v>
      </c>
      <c r="D28" s="23">
        <f>C28+B28</f>
        <v>2744.34</v>
      </c>
      <c r="E28" s="23">
        <f>SUM(E18*3.27)</f>
        <v>618.03</v>
      </c>
      <c r="F28" s="23">
        <f>SUM(F18*0)</f>
        <v>0</v>
      </c>
      <c r="G28" s="23">
        <f>F28+E28</f>
        <v>618.03</v>
      </c>
      <c r="H28" s="24">
        <f>G28+D28</f>
        <v>3362.37</v>
      </c>
    </row>
    <row r="29" spans="1:8" ht="12.75" customHeight="1">
      <c r="A29" s="1" t="s">
        <v>50</v>
      </c>
      <c r="B29" s="23">
        <f>SUM(B19*0.95)</f>
        <v>185.25</v>
      </c>
      <c r="C29" s="23">
        <f>SUM(C19*1.29)</f>
        <v>2017.56</v>
      </c>
      <c r="D29" s="23">
        <f>C29+B29</f>
        <v>2202.81</v>
      </c>
      <c r="E29" s="23">
        <f>SUM(E19*3.27)</f>
        <v>706.32</v>
      </c>
      <c r="F29" s="23">
        <f>SUM(F19*0)</f>
        <v>0</v>
      </c>
      <c r="G29" s="23">
        <f>F29+E29</f>
        <v>706.32</v>
      </c>
      <c r="H29" s="24">
        <f>G29+D29</f>
        <v>2909.13</v>
      </c>
    </row>
    <row r="30" spans="1:8" ht="12.75" customHeight="1">
      <c r="A30" s="1" t="s">
        <v>52</v>
      </c>
      <c r="B30" s="23">
        <f>SUM(B20*0.95)</f>
        <v>148.2</v>
      </c>
      <c r="C30" s="23">
        <f>SUM(C20*1.29)</f>
        <v>1938.8700000000001</v>
      </c>
      <c r="D30" s="23">
        <f>C30+B30</f>
        <v>2087.07</v>
      </c>
      <c r="E30" s="23">
        <f>SUM(E20*3.27)</f>
        <v>1177.2</v>
      </c>
      <c r="F30" s="23">
        <f>SUM(F20*0)</f>
        <v>0</v>
      </c>
      <c r="G30" s="23">
        <f>F30+E30</f>
        <v>1177.2</v>
      </c>
      <c r="H30" s="24">
        <f>G30+D30</f>
        <v>3264.2700000000004</v>
      </c>
    </row>
    <row r="31" spans="1:8" ht="12.75" customHeight="1">
      <c r="A31" s="1" t="s">
        <v>57</v>
      </c>
      <c r="B31" s="23">
        <f>SUM(B21*0.95)</f>
        <v>148.2</v>
      </c>
      <c r="C31" s="23">
        <f>SUM(C21*1.29)</f>
        <v>2480.67</v>
      </c>
      <c r="D31" s="23">
        <f>C31+B31</f>
        <v>2628.87</v>
      </c>
      <c r="E31" s="23">
        <f>SUM(E21*3.27)</f>
        <v>1455.15</v>
      </c>
      <c r="F31" s="23">
        <f>SUM(F21*0)</f>
        <v>0</v>
      </c>
      <c r="G31" s="23">
        <f>F31+E31</f>
        <v>1455.15</v>
      </c>
      <c r="H31" s="24">
        <f>G31+D31</f>
        <v>4084.02</v>
      </c>
    </row>
    <row r="32" spans="1:8" ht="12.75" customHeight="1">
      <c r="A32" s="16"/>
      <c r="B32" s="12"/>
      <c r="C32" s="12"/>
      <c r="D32" s="12"/>
      <c r="E32" s="12"/>
      <c r="F32" s="12"/>
      <c r="G32" s="12"/>
      <c r="H32" s="14"/>
    </row>
    <row r="33" ht="12.75" customHeight="1"/>
    <row r="34" ht="10.5">
      <c r="A34" s="56" t="s">
        <v>48</v>
      </c>
    </row>
    <row r="35" ht="10.5">
      <c r="A35" s="56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 (np)
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2010-06-08T14:28:26Z</cp:lastPrinted>
  <dcterms:created xsi:type="dcterms:W3CDTF">1997-10-10T15:16:28Z</dcterms:created>
  <dcterms:modified xsi:type="dcterms:W3CDTF">2010-06-08T14:30:08Z</dcterms:modified>
  <cp:category/>
  <cp:version/>
  <cp:contentType/>
  <cp:contentStatus/>
</cp:coreProperties>
</file>