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comments24.xml" ContentType="application/vnd.openxmlformats-officedocument.spreadsheetml.comments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comments27.xml" ContentType="application/vnd.openxmlformats-officedocument.spreadsheetml.comments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135" windowWidth="25110" windowHeight="6585" tabRatio="908" activeTab="0"/>
  </bookViews>
  <sheets>
    <sheet name="SCI" sheetId="1" r:id="rId1"/>
    <sheet name="SCI2" sheetId="2" r:id="rId2"/>
    <sheet name="AST2" sheetId="3" r:id="rId3"/>
    <sheet name="ATS" sheetId="4" r:id="rId4"/>
    <sheet name="ATS2" sheetId="5" r:id="rId5"/>
    <sheet name="BTSE" sheetId="6" r:id="rId6"/>
    <sheet name="BTSE2" sheetId="7" r:id="rId7"/>
    <sheet name="BYS" sheetId="8" r:id="rId8"/>
    <sheet name="BYS2" sheetId="9" r:id="rId9"/>
    <sheet name="CH" sheetId="10" r:id="rId10"/>
    <sheet name="CH2" sheetId="11" r:id="rId11"/>
    <sheet name="CS" sheetId="12" r:id="rId12"/>
    <sheet name="CS2" sheetId="13" r:id="rId13"/>
    <sheet name="CSE2" sheetId="14" r:id="rId14"/>
    <sheet name="ES2" sheetId="15" r:id="rId15"/>
    <sheet name="ESS" sheetId="16" r:id="rId16"/>
    <sheet name="ESS2" sheetId="17" r:id="rId17"/>
    <sheet name="MA" sheetId="18" r:id="rId18"/>
    <sheet name="MA2" sheetId="19" r:id="rId19"/>
    <sheet name="MOD" sheetId="20" r:id="rId20"/>
    <sheet name="MOD2" sheetId="21" r:id="rId21"/>
    <sheet name="MS2" sheetId="22" r:id="rId22"/>
    <sheet name="MTS" sheetId="23" r:id="rId23"/>
    <sheet name="MTS2" sheetId="24" r:id="rId24"/>
    <sheet name="OPT" sheetId="25" r:id="rId25"/>
    <sheet name="OPT2" sheetId="26" r:id="rId26"/>
    <sheet name="PH" sheetId="27" r:id="rId27"/>
    <sheet name="PH2" sheetId="28" r:id="rId28"/>
    <sheet name="SWE" sheetId="29" r:id="rId29"/>
    <sheet name="SWE2" sheetId="30" r:id="rId30"/>
    <sheet name="PEN&amp;UND" sheetId="31" r:id="rId31"/>
    <sheet name="PEN&amp;UND2" sheetId="32" r:id="rId32"/>
  </sheets>
  <definedNames/>
  <calcPr fullCalcOnLoad="1"/>
</workbook>
</file>

<file path=xl/comments1.xml><?xml version="1.0" encoding="utf-8"?>
<comments xmlns="http://schemas.openxmlformats.org/spreadsheetml/2006/main">
  <authors>
    <author>Nathan</author>
  </authors>
  <commentList>
    <comment ref="B12" authorId="0">
      <text>
        <r>
          <rPr>
            <b/>
            <sz val="8"/>
            <rFont val="Tahoma"/>
            <family val="0"/>
          </rPr>
          <t>Nathan:</t>
        </r>
        <r>
          <rPr>
            <sz val="8"/>
            <rFont val="Tahoma"/>
            <family val="0"/>
          </rPr>
          <t xml:space="preserve">
Includes 4 Double Majors</t>
        </r>
      </text>
    </comment>
    <comment ref="C12" authorId="0">
      <text>
        <r>
          <rPr>
            <b/>
            <sz val="8"/>
            <rFont val="Tahoma"/>
            <family val="0"/>
          </rPr>
          <t>Nathan:</t>
        </r>
        <r>
          <rPr>
            <sz val="8"/>
            <rFont val="Tahoma"/>
            <family val="0"/>
          </rPr>
          <t xml:space="preserve">
Includes 4 Double Majors</t>
        </r>
      </text>
    </comment>
    <comment ref="B11" authorId="0">
      <text>
        <r>
          <rPr>
            <b/>
            <sz val="8"/>
            <rFont val="Tahoma"/>
            <family val="0"/>
          </rPr>
          <t>Nathan:</t>
        </r>
        <r>
          <rPr>
            <sz val="8"/>
            <rFont val="Tahoma"/>
            <family val="0"/>
          </rPr>
          <t xml:space="preserve">
Includes 6 Double Majors</t>
        </r>
      </text>
    </comment>
    <comment ref="C11" authorId="0">
      <text>
        <r>
          <rPr>
            <b/>
            <sz val="8"/>
            <rFont val="Tahoma"/>
            <family val="0"/>
          </rPr>
          <t>Nathan:</t>
        </r>
        <r>
          <rPr>
            <sz val="8"/>
            <rFont val="Tahoma"/>
            <family val="0"/>
          </rPr>
          <t xml:space="preserve">
Includes 3 Double Majors</t>
        </r>
      </text>
    </comment>
    <comment ref="H11" authorId="0">
      <text>
        <r>
          <rPr>
            <b/>
            <sz val="8"/>
            <rFont val="Tahoma"/>
            <family val="0"/>
          </rPr>
          <t>Nathan:</t>
        </r>
        <r>
          <rPr>
            <sz val="8"/>
            <rFont val="Tahoma"/>
            <family val="0"/>
          </rPr>
          <t xml:space="preserve">
Includes 1 Double Major</t>
        </r>
      </text>
    </comment>
    <comment ref="B10" authorId="0">
      <text>
        <r>
          <rPr>
            <b/>
            <sz val="8"/>
            <rFont val="Tahoma"/>
            <family val="0"/>
          </rPr>
          <t>Nathan:</t>
        </r>
        <r>
          <rPr>
            <sz val="8"/>
            <rFont val="Tahoma"/>
            <family val="0"/>
          </rPr>
          <t xml:space="preserve">
Includes 4 Double Majors</t>
        </r>
      </text>
    </comment>
    <comment ref="C10" authorId="0">
      <text>
        <r>
          <rPr>
            <b/>
            <sz val="8"/>
            <rFont val="Tahoma"/>
            <family val="0"/>
          </rPr>
          <t>Nathan:</t>
        </r>
        <r>
          <rPr>
            <sz val="8"/>
            <rFont val="Tahoma"/>
            <family val="0"/>
          </rPr>
          <t xml:space="preserve">
Includes 6 Double Majors</t>
        </r>
      </text>
    </comment>
    <comment ref="I10" authorId="0">
      <text>
        <r>
          <rPr>
            <b/>
            <sz val="8"/>
            <rFont val="Tahoma"/>
            <family val="0"/>
          </rPr>
          <t>Nathan:</t>
        </r>
        <r>
          <rPr>
            <sz val="8"/>
            <rFont val="Tahoma"/>
            <family val="0"/>
          </rPr>
          <t xml:space="preserve">
Includes 1 Double Major</t>
        </r>
      </text>
    </comment>
    <comment ref="B9" authorId="0">
      <text>
        <r>
          <rPr>
            <b/>
            <sz val="8"/>
            <rFont val="Tahoma"/>
            <family val="0"/>
          </rPr>
          <t>Nathan:</t>
        </r>
        <r>
          <rPr>
            <sz val="8"/>
            <rFont val="Tahoma"/>
            <family val="0"/>
          </rPr>
          <t xml:space="preserve">
Includes 3 Double Majors</t>
        </r>
      </text>
    </comment>
    <comment ref="C8" authorId="0">
      <text>
        <r>
          <rPr>
            <b/>
            <sz val="8"/>
            <rFont val="Tahoma"/>
            <family val="0"/>
          </rPr>
          <t>Nathan:</t>
        </r>
        <r>
          <rPr>
            <sz val="8"/>
            <rFont val="Tahoma"/>
            <family val="0"/>
          </rPr>
          <t xml:space="preserve">
Includes 2 Double Majors</t>
        </r>
      </text>
    </comment>
  </commentList>
</comments>
</file>

<file path=xl/comments10.xml><?xml version="1.0" encoding="utf-8"?>
<comments xmlns="http://schemas.openxmlformats.org/spreadsheetml/2006/main">
  <authors>
    <author>Nathan</author>
  </authors>
  <commentList>
    <comment ref="B10" authorId="0">
      <text>
        <r>
          <rPr>
            <b/>
            <sz val="8"/>
            <rFont val="Tahoma"/>
            <family val="0"/>
          </rPr>
          <t>Nathan:</t>
        </r>
        <r>
          <rPr>
            <sz val="8"/>
            <rFont val="Tahoma"/>
            <family val="0"/>
          </rPr>
          <t xml:space="preserve">
Includes 2 Double Majors</t>
        </r>
      </text>
    </comment>
    <comment ref="C10" authorId="0">
      <text>
        <r>
          <rPr>
            <b/>
            <sz val="8"/>
            <rFont val="Tahoma"/>
            <family val="0"/>
          </rPr>
          <t>Nathan:</t>
        </r>
        <r>
          <rPr>
            <sz val="8"/>
            <rFont val="Tahoma"/>
            <family val="0"/>
          </rPr>
          <t xml:space="preserve">
Includes 2 Double Majors</t>
        </r>
      </text>
    </comment>
    <comment ref="H9" authorId="0">
      <text>
        <r>
          <rPr>
            <b/>
            <sz val="8"/>
            <rFont val="Tahoma"/>
            <family val="0"/>
          </rPr>
          <t>Nathan:</t>
        </r>
        <r>
          <rPr>
            <sz val="8"/>
            <rFont val="Tahoma"/>
            <family val="0"/>
          </rPr>
          <t xml:space="preserve">
Includes 1 Double Major</t>
        </r>
      </text>
    </comment>
    <comment ref="C9" authorId="0">
      <text>
        <r>
          <rPr>
            <b/>
            <sz val="8"/>
            <rFont val="Tahoma"/>
            <family val="0"/>
          </rPr>
          <t>Nathan:</t>
        </r>
        <r>
          <rPr>
            <sz val="8"/>
            <rFont val="Tahoma"/>
            <family val="0"/>
          </rPr>
          <t xml:space="preserve">
Includes 2 Double Majors</t>
        </r>
      </text>
    </comment>
    <comment ref="C8" authorId="0">
      <text>
        <r>
          <rPr>
            <b/>
            <sz val="8"/>
            <rFont val="Tahoma"/>
            <family val="0"/>
          </rPr>
          <t>Nathan:</t>
        </r>
        <r>
          <rPr>
            <sz val="8"/>
            <rFont val="Tahoma"/>
            <family val="0"/>
          </rPr>
          <t xml:space="preserve">
Includes 3 Double Majors</t>
        </r>
      </text>
    </comment>
  </commentList>
</comments>
</file>

<file path=xl/comments12.xml><?xml version="1.0" encoding="utf-8"?>
<comments xmlns="http://schemas.openxmlformats.org/spreadsheetml/2006/main">
  <authors>
    <author>Nathan</author>
  </authors>
  <commentList>
    <comment ref="C9" authorId="0">
      <text>
        <r>
          <rPr>
            <b/>
            <sz val="8"/>
            <rFont val="Tahoma"/>
            <family val="0"/>
          </rPr>
          <t>Nathan:</t>
        </r>
        <r>
          <rPr>
            <sz val="8"/>
            <rFont val="Tahoma"/>
            <family val="0"/>
          </rPr>
          <t xml:space="preserve">
Includes 1 Double Major</t>
        </r>
      </text>
    </comment>
    <comment ref="C8" authorId="0">
      <text>
        <r>
          <rPr>
            <b/>
            <sz val="8"/>
            <rFont val="Tahoma"/>
            <family val="0"/>
          </rPr>
          <t>Nathan:</t>
        </r>
        <r>
          <rPr>
            <sz val="8"/>
            <rFont val="Tahoma"/>
            <family val="0"/>
          </rPr>
          <t xml:space="preserve">
Includes 1 Double Major</t>
        </r>
      </text>
    </comment>
  </commentList>
</comments>
</file>

<file path=xl/comments18.xml><?xml version="1.0" encoding="utf-8"?>
<comments xmlns="http://schemas.openxmlformats.org/spreadsheetml/2006/main">
  <authors>
    <author>Nathan</author>
  </authors>
  <commentList>
    <comment ref="C29" authorId="0">
      <text>
        <r>
          <rPr>
            <b/>
            <sz val="8"/>
            <rFont val="Tahoma"/>
            <family val="0"/>
          </rPr>
          <t>Nathan:</t>
        </r>
        <r>
          <rPr>
            <sz val="8"/>
            <rFont val="Tahoma"/>
            <family val="0"/>
          </rPr>
          <t xml:space="preserve">
includes 1 AMA</t>
        </r>
      </text>
    </comment>
    <comment ref="B10" authorId="0">
      <text>
        <r>
          <rPr>
            <b/>
            <sz val="8"/>
            <rFont val="Tahoma"/>
            <family val="0"/>
          </rPr>
          <t>Nathan:</t>
        </r>
        <r>
          <rPr>
            <sz val="8"/>
            <rFont val="Tahoma"/>
            <family val="0"/>
          </rPr>
          <t xml:space="preserve">
Includes 2 Double Majors</t>
        </r>
      </text>
    </comment>
    <comment ref="C10" authorId="0">
      <text>
        <r>
          <rPr>
            <b/>
            <sz val="8"/>
            <rFont val="Tahoma"/>
            <family val="0"/>
          </rPr>
          <t>Nathan:</t>
        </r>
        <r>
          <rPr>
            <sz val="8"/>
            <rFont val="Tahoma"/>
            <family val="0"/>
          </rPr>
          <t xml:space="preserve">
Includes 1 Double Major</t>
        </r>
      </text>
    </comment>
    <comment ref="B9" authorId="0">
      <text>
        <r>
          <rPr>
            <b/>
            <sz val="8"/>
            <rFont val="Tahoma"/>
            <family val="0"/>
          </rPr>
          <t>Nathan:</t>
        </r>
        <r>
          <rPr>
            <sz val="8"/>
            <rFont val="Tahoma"/>
            <family val="0"/>
          </rPr>
          <t xml:space="preserve">
Includes 5 Double Majors</t>
        </r>
      </text>
    </comment>
    <comment ref="B8" authorId="0">
      <text>
        <r>
          <rPr>
            <b/>
            <sz val="8"/>
            <rFont val="Tahoma"/>
            <family val="0"/>
          </rPr>
          <t>Nathan:</t>
        </r>
        <r>
          <rPr>
            <sz val="8"/>
            <rFont val="Tahoma"/>
            <family val="0"/>
          </rPr>
          <t xml:space="preserve">
Includes 4 Double Majors</t>
        </r>
      </text>
    </comment>
    <comment ref="C8" authorId="0">
      <text>
        <r>
          <rPr>
            <b/>
            <sz val="8"/>
            <rFont val="Tahoma"/>
            <family val="0"/>
          </rPr>
          <t>Nathan:</t>
        </r>
        <r>
          <rPr>
            <sz val="8"/>
            <rFont val="Tahoma"/>
            <family val="0"/>
          </rPr>
          <t xml:space="preserve">
Includes 1 Double Major</t>
        </r>
      </text>
    </comment>
    <comment ref="B7" authorId="0">
      <text>
        <r>
          <rPr>
            <b/>
            <sz val="8"/>
            <rFont val="Tahoma"/>
            <family val="0"/>
          </rPr>
          <t>Nathan:</t>
        </r>
        <r>
          <rPr>
            <sz val="8"/>
            <rFont val="Tahoma"/>
            <family val="0"/>
          </rPr>
          <t xml:space="preserve">
Includes 2 Double Majors</t>
        </r>
      </text>
    </comment>
  </commentList>
</comments>
</file>

<file path=xl/comments24.xml><?xml version="1.0" encoding="utf-8"?>
<comments xmlns="http://schemas.openxmlformats.org/spreadsheetml/2006/main">
  <authors>
    <author>Debbie Stowers</author>
    <author>Nathan</author>
  </authors>
  <commentList>
    <comment ref="A23" authorId="0">
      <text>
        <r>
          <rPr>
            <b/>
            <sz val="8"/>
            <rFont val="Tahoma"/>
            <family val="0"/>
          </rPr>
          <t>Debbie Stowers:</t>
        </r>
        <r>
          <rPr>
            <sz val="8"/>
            <rFont val="Tahoma"/>
            <family val="0"/>
          </rPr>
          <t xml:space="preserve">
These weights have been updated from Physical Sciences to Multi/Interdisciplinary as this is a multi/Interdisciplinary  discipline</t>
        </r>
      </text>
    </comment>
    <comment ref="E30" authorId="1">
      <text>
        <r>
          <rPr>
            <b/>
            <sz val="8"/>
            <rFont val="Tahoma"/>
            <family val="0"/>
          </rPr>
          <t>OIR:</t>
        </r>
        <r>
          <rPr>
            <sz val="8"/>
            <rFont val="Tahoma"/>
            <family val="0"/>
          </rPr>
          <t xml:space="preserve">
Reduced to 3.23 fro 5.36 due to Multi-discipline distinction.</t>
        </r>
      </text>
    </comment>
    <comment ref="F30" authorId="1">
      <text>
        <r>
          <rPr>
            <b/>
            <sz val="8"/>
            <rFont val="Tahoma"/>
            <family val="0"/>
          </rPr>
          <t>OIR:</t>
        </r>
        <r>
          <rPr>
            <sz val="8"/>
            <rFont val="Tahoma"/>
            <family val="0"/>
          </rPr>
          <t xml:space="preserve">
Reduced to 10.33 from 17.6 due to Multi-discipline distinction.</t>
        </r>
      </text>
    </comment>
  </commentList>
</comments>
</file>

<file path=xl/comments27.xml><?xml version="1.0" encoding="utf-8"?>
<comments xmlns="http://schemas.openxmlformats.org/spreadsheetml/2006/main">
  <authors>
    <author>Nathan</author>
  </authors>
  <commentList>
    <comment ref="C10" authorId="0">
      <text>
        <r>
          <rPr>
            <b/>
            <sz val="8"/>
            <rFont val="Tahoma"/>
            <family val="0"/>
          </rPr>
          <t>Nathan:</t>
        </r>
        <r>
          <rPr>
            <sz val="8"/>
            <rFont val="Tahoma"/>
            <family val="0"/>
          </rPr>
          <t xml:space="preserve">
Includes 1 Double Major</t>
        </r>
      </text>
    </comment>
    <comment ref="B9" authorId="0">
      <text>
        <r>
          <rPr>
            <b/>
            <sz val="8"/>
            <rFont val="Tahoma"/>
            <family val="0"/>
          </rPr>
          <t>Nathan:</t>
        </r>
        <r>
          <rPr>
            <sz val="8"/>
            <rFont val="Tahoma"/>
            <family val="0"/>
          </rPr>
          <t xml:space="preserve">
Includes 1 Double Major</t>
        </r>
      </text>
    </comment>
    <comment ref="C8" authorId="0">
      <text>
        <r>
          <rPr>
            <b/>
            <sz val="8"/>
            <rFont val="Tahoma"/>
            <family val="0"/>
          </rPr>
          <t>Nathan:</t>
        </r>
        <r>
          <rPr>
            <sz val="8"/>
            <rFont val="Tahoma"/>
            <family val="0"/>
          </rPr>
          <t xml:space="preserve">
Includes 1 Double Major</t>
        </r>
      </text>
    </comment>
    <comment ref="B7" authorId="0">
      <text>
        <r>
          <rPr>
            <b/>
            <sz val="8"/>
            <rFont val="Tahoma"/>
            <family val="0"/>
          </rPr>
          <t>Nathan:</t>
        </r>
        <r>
          <rPr>
            <sz val="8"/>
            <rFont val="Tahoma"/>
            <family val="0"/>
          </rPr>
          <t xml:space="preserve">
Includes 1 Double Major</t>
        </r>
      </text>
    </comment>
    <comment ref="C6" authorId="0">
      <text>
        <r>
          <rPr>
            <b/>
            <sz val="8"/>
            <rFont val="Tahoma"/>
            <family val="0"/>
          </rPr>
          <t>Nathan:</t>
        </r>
        <r>
          <rPr>
            <sz val="8"/>
            <rFont val="Tahoma"/>
            <family val="0"/>
          </rPr>
          <t xml:space="preserve">
Includes 1 Double Major</t>
        </r>
      </text>
    </comment>
  </commentList>
</comments>
</file>

<file path=xl/comments7.xml><?xml version="1.0" encoding="utf-8"?>
<comments xmlns="http://schemas.openxmlformats.org/spreadsheetml/2006/main">
  <authors>
    <author>Laura</author>
  </authors>
  <commentList>
    <comment ref="F18" authorId="0">
      <text>
        <r>
          <rPr>
            <b/>
            <sz val="8"/>
            <rFont val="Tahoma"/>
            <family val="0"/>
          </rPr>
          <t>Laura:</t>
        </r>
        <r>
          <rPr>
            <sz val="8"/>
            <rFont val="Tahoma"/>
            <family val="0"/>
          </rPr>
          <t xml:space="preserve">
Fall 04 &amp; Spring 05</t>
        </r>
      </text>
    </comment>
  </commentList>
</comments>
</file>

<file path=xl/comments8.xml><?xml version="1.0" encoding="utf-8"?>
<comments xmlns="http://schemas.openxmlformats.org/spreadsheetml/2006/main">
  <authors>
    <author>Nathan</author>
  </authors>
  <commentList>
    <comment ref="I8" authorId="0">
      <text>
        <r>
          <rPr>
            <b/>
            <sz val="8"/>
            <rFont val="Tahoma"/>
            <family val="0"/>
          </rPr>
          <t>Nathan:</t>
        </r>
        <r>
          <rPr>
            <sz val="8"/>
            <rFont val="Tahoma"/>
            <family val="0"/>
          </rPr>
          <t xml:space="preserve">
Includes 1 Double Major</t>
        </r>
      </text>
    </comment>
    <comment ref="C6" authorId="0">
      <text>
        <r>
          <rPr>
            <b/>
            <sz val="8"/>
            <rFont val="Tahoma"/>
            <family val="0"/>
          </rPr>
          <t>Nathan:</t>
        </r>
        <r>
          <rPr>
            <sz val="8"/>
            <rFont val="Tahoma"/>
            <family val="0"/>
          </rPr>
          <t xml:space="preserve">
Includes 1 Double Major</t>
        </r>
      </text>
    </comment>
  </commentList>
</comments>
</file>

<file path=xl/sharedStrings.xml><?xml version="1.0" encoding="utf-8"?>
<sst xmlns="http://schemas.openxmlformats.org/spreadsheetml/2006/main" count="2296" uniqueCount="73">
  <si>
    <t>Atmospheric Science</t>
  </si>
  <si>
    <t>White</t>
  </si>
  <si>
    <t>African American</t>
  </si>
  <si>
    <t>Hispanic</t>
  </si>
  <si>
    <t>Asian/Pac. Isl.</t>
  </si>
  <si>
    <t>Am.Ind./Alaskan</t>
  </si>
  <si>
    <t>Nonresident Alien</t>
  </si>
  <si>
    <t>Total</t>
  </si>
  <si>
    <t>Grand</t>
  </si>
  <si>
    <t>Male</t>
  </si>
  <si>
    <t>Female</t>
  </si>
  <si>
    <t>Graduate</t>
  </si>
  <si>
    <t>Headcount Enrollment</t>
  </si>
  <si>
    <t>Fall Term</t>
  </si>
  <si>
    <t>Fall</t>
  </si>
  <si>
    <t>Spring</t>
  </si>
  <si>
    <t>Summer</t>
  </si>
  <si>
    <t>Undergraduate</t>
  </si>
  <si>
    <t>Lower Division</t>
  </si>
  <si>
    <t>Upper Division</t>
  </si>
  <si>
    <t>Level I</t>
  </si>
  <si>
    <t>Level II</t>
  </si>
  <si>
    <t xml:space="preserve">Graduate </t>
  </si>
  <si>
    <t xml:space="preserve">Total </t>
  </si>
  <si>
    <t>Astronomy</t>
  </si>
  <si>
    <t>Biology</t>
  </si>
  <si>
    <t>Chemistry</t>
  </si>
  <si>
    <t>Computer Science</t>
  </si>
  <si>
    <t>Environmental Science</t>
  </si>
  <si>
    <t>Materials Science</t>
  </si>
  <si>
    <t>Mathematical Sciences</t>
  </si>
  <si>
    <t>Optics</t>
  </si>
  <si>
    <t>Physics</t>
  </si>
  <si>
    <t>Pending/Undecided</t>
  </si>
  <si>
    <t>College of Science</t>
  </si>
  <si>
    <t>1997-98</t>
  </si>
  <si>
    <t xml:space="preserve">Fall </t>
  </si>
  <si>
    <t>Certificate in Software Engineering</t>
  </si>
  <si>
    <t>Marine Science</t>
  </si>
  <si>
    <t>Does not include Space Academy</t>
  </si>
  <si>
    <t>Unknown</t>
  </si>
  <si>
    <t>Software Engineering</t>
  </si>
  <si>
    <t>Biotechnology Science and Engineering*</t>
  </si>
  <si>
    <t>2004-05</t>
  </si>
  <si>
    <t>* Beginning Fall 2004 BTSE is counted in The College of Science. Prior to that is was counted in The College of Engineering.</t>
  </si>
  <si>
    <t>Beginning Fall 2004 BTSE is included in the College of Science. Prior to that time it was included in the College of Engineering.</t>
  </si>
  <si>
    <t>2005-06</t>
  </si>
  <si>
    <t>Weighted Credit Hours*</t>
  </si>
  <si>
    <t>Unweighted Credit Hours*</t>
  </si>
  <si>
    <t>2006-07</t>
  </si>
  <si>
    <t>* Credit hours are calculated for Summer, Fall, and Spring.</t>
  </si>
  <si>
    <t xml:space="preserve">* Credit hours are calculated for Summer, Fall, and Spring. </t>
  </si>
  <si>
    <t>Unweighted Credit Hours**</t>
  </si>
  <si>
    <t>Weighted Credit Hours**</t>
  </si>
  <si>
    <t>* Beginning Fall 2004 BTSE counted in The College of Science.  Prior to that it was included in the College of Engineering</t>
  </si>
  <si>
    <t>** Credit hours are calculated for Summer, Fall, and Spring.</t>
  </si>
  <si>
    <t>Computer Science*</t>
  </si>
  <si>
    <t>* Students seeking Master of Science in Software Engineering and enrolled in the CS department are found on the SWE page.</t>
  </si>
  <si>
    <t>2007-08</t>
  </si>
  <si>
    <t>Modeling and Simulation</t>
  </si>
  <si>
    <t>2008-09</t>
  </si>
  <si>
    <t>Earth Systems Science</t>
  </si>
  <si>
    <t>Doctoral Degrees</t>
  </si>
  <si>
    <t>Masters Degrees</t>
  </si>
  <si>
    <t>Bachelors Degrees</t>
  </si>
  <si>
    <t xml:space="preserve">* In 2002-03 all  Software Engineering (SWE) majors were included in Engineering.   </t>
  </si>
  <si>
    <t>** In Fall 2003 SWE majors are found within Computer Engineering (CPE) in the Engineering Report or Computer Science (CS) the SWE majors shown here are those enrolled in the CS department.</t>
  </si>
  <si>
    <t>Certificates</t>
  </si>
  <si>
    <t>* Includes AMA Students</t>
  </si>
  <si>
    <t>2005-06*</t>
  </si>
  <si>
    <t>2006-07*</t>
  </si>
  <si>
    <t>2007-08*</t>
  </si>
  <si>
    <t>2008-09*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</si>
</sst>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\ \ \ \ \ \ \ \ \ "/>
    <numFmt numFmtId="165" formatCode="#,##0.00\ \ \ \ \ \ \ \ "/>
    <numFmt numFmtId="166" formatCode="#,##0\ \ \ \ \ \ "/>
    <numFmt numFmtId="167" formatCode="#,##0\ \ \ \ \ \ \ \ \ \ \ \ \ "/>
    <numFmt numFmtId="168" formatCode="#,##0.0\ \ \ \ \ \ \ \ \ \ "/>
    <numFmt numFmtId="169" formatCode="#,##0.00\ \ \ \ \ \ \ \ \ \ "/>
    <numFmt numFmtId="170" formatCode="_(* #,##0.00_);_(* \(#,##0.00\);_(\ &quot;-&quot;??_);_(@_)"/>
    <numFmt numFmtId="171" formatCode="#,##0\ \ \ \ \ \ \ \ "/>
    <numFmt numFmtId="172" formatCode="#,##0\ \ \ \ "/>
    <numFmt numFmtId="173" formatCode="#,##0\ \ \ "/>
    <numFmt numFmtId="174" formatCode="#,##0\ \ \ \ \ "/>
    <numFmt numFmtId="175" formatCode="_(* #,##0.0000_);_(* \(#,##0.0000\);_(* &quot;-&quot;????_);_(@_)"/>
    <numFmt numFmtId="176" formatCode="0\ \ \ \ "/>
    <numFmt numFmtId="177" formatCode="_(* #,##0\ \ _);_(* \(#,##0\);_(* &quot;--&quot;\ \ _);_(@_)"/>
  </numFmts>
  <fonts count="1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MS Sans Serif"/>
      <family val="0"/>
    </font>
    <font>
      <sz val="8"/>
      <name val="MS Sans Serif"/>
      <family val="0"/>
    </font>
    <font>
      <b/>
      <sz val="8"/>
      <name val="MS Sans Serif"/>
      <family val="0"/>
    </font>
    <font>
      <b/>
      <u val="single"/>
      <sz val="8"/>
      <name val="MS Sans Serif"/>
      <family val="2"/>
    </font>
    <font>
      <sz val="8"/>
      <name val="Tahoma"/>
      <family val="0"/>
    </font>
    <font>
      <b/>
      <sz val="8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lightGray"/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7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165" fontId="5" fillId="0" borderId="7" xfId="0" applyNumberFormat="1" applyFont="1" applyBorder="1" applyAlignment="1">
      <alignment/>
    </xf>
    <xf numFmtId="165" fontId="5" fillId="0" borderId="9" xfId="0" applyNumberFormat="1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1" xfId="0" applyFont="1" applyBorder="1" applyAlignment="1">
      <alignment horizontal="centerContinuous"/>
    </xf>
    <xf numFmtId="0" fontId="6" fillId="0" borderId="2" xfId="0" applyFont="1" applyBorder="1" applyAlignment="1">
      <alignment horizontal="centerContinuous"/>
    </xf>
    <xf numFmtId="0" fontId="6" fillId="0" borderId="1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1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166" fontId="5" fillId="0" borderId="7" xfId="0" applyNumberFormat="1" applyFont="1" applyBorder="1" applyAlignment="1">
      <alignment/>
    </xf>
    <xf numFmtId="166" fontId="5" fillId="0" borderId="8" xfId="0" applyNumberFormat="1" applyFont="1" applyBorder="1" applyAlignment="1">
      <alignment/>
    </xf>
    <xf numFmtId="166" fontId="5" fillId="0" borderId="9" xfId="0" applyNumberFormat="1" applyFont="1" applyBorder="1" applyAlignment="1">
      <alignment/>
    </xf>
    <xf numFmtId="166" fontId="5" fillId="0" borderId="0" xfId="0" applyNumberFormat="1" applyFont="1" applyAlignment="1">
      <alignment/>
    </xf>
    <xf numFmtId="166" fontId="5" fillId="0" borderId="0" xfId="0" applyNumberFormat="1" applyFont="1" applyBorder="1" applyAlignment="1">
      <alignment/>
    </xf>
    <xf numFmtId="164" fontId="5" fillId="0" borderId="3" xfId="0" applyNumberFormat="1" applyFont="1" applyBorder="1" applyAlignment="1">
      <alignment/>
    </xf>
    <xf numFmtId="168" fontId="5" fillId="0" borderId="7" xfId="0" applyNumberFormat="1" applyFont="1" applyBorder="1" applyAlignment="1">
      <alignment/>
    </xf>
    <xf numFmtId="168" fontId="5" fillId="0" borderId="9" xfId="0" applyNumberFormat="1" applyFont="1" applyBorder="1" applyAlignment="1">
      <alignment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Alignment="1" quotePrefix="1">
      <alignment horizontal="center"/>
    </xf>
    <xf numFmtId="0" fontId="6" fillId="0" borderId="7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0" xfId="0" applyFont="1" applyAlignment="1" quotePrefix="1">
      <alignment horizontal="left"/>
    </xf>
    <xf numFmtId="0" fontId="5" fillId="0" borderId="9" xfId="0" applyFont="1" applyBorder="1" applyAlignment="1">
      <alignment horizontal="center"/>
    </xf>
    <xf numFmtId="0" fontId="1" fillId="0" borderId="0" xfId="0" applyFont="1" applyAlignment="1">
      <alignment/>
    </xf>
    <xf numFmtId="0" fontId="5" fillId="0" borderId="9" xfId="0" applyNumberFormat="1" applyFont="1" applyBorder="1" applyAlignment="1">
      <alignment horizontal="center"/>
    </xf>
    <xf numFmtId="0" fontId="4" fillId="0" borderId="0" xfId="0" applyFont="1" applyAlignment="1" quotePrefix="1">
      <alignment horizontal="center"/>
    </xf>
    <xf numFmtId="0" fontId="7" fillId="0" borderId="0" xfId="0" applyFont="1" applyAlignment="1" quotePrefix="1">
      <alignment horizontal="left"/>
    </xf>
    <xf numFmtId="0" fontId="6" fillId="0" borderId="0" xfId="0" applyFont="1" applyAlignment="1">
      <alignment horizontal="left"/>
    </xf>
    <xf numFmtId="166" fontId="5" fillId="0" borderId="10" xfId="0" applyNumberFormat="1" applyFont="1" applyBorder="1" applyAlignment="1">
      <alignment/>
    </xf>
    <xf numFmtId="0" fontId="6" fillId="0" borderId="0" xfId="0" applyFont="1" applyAlignment="1" quotePrefix="1">
      <alignment horizontal="left"/>
    </xf>
    <xf numFmtId="0" fontId="6" fillId="0" borderId="6" xfId="0" applyFont="1" applyBorder="1" applyAlignment="1">
      <alignment horizontal="center"/>
    </xf>
    <xf numFmtId="37" fontId="5" fillId="0" borderId="7" xfId="0" applyNumberFormat="1" applyFont="1" applyBorder="1" applyAlignment="1">
      <alignment/>
    </xf>
    <xf numFmtId="37" fontId="5" fillId="0" borderId="8" xfId="0" applyNumberFormat="1" applyFont="1" applyBorder="1" applyAlignment="1">
      <alignment/>
    </xf>
    <xf numFmtId="37" fontId="5" fillId="0" borderId="0" xfId="0" applyNumberFormat="1" applyFont="1" applyBorder="1" applyAlignment="1">
      <alignment/>
    </xf>
    <xf numFmtId="0" fontId="12" fillId="0" borderId="0" xfId="0" applyFont="1" applyAlignment="1">
      <alignment/>
    </xf>
    <xf numFmtId="166" fontId="0" fillId="0" borderId="0" xfId="0" applyNumberFormat="1" applyAlignment="1">
      <alignment/>
    </xf>
    <xf numFmtId="0" fontId="4" fillId="0" borderId="0" xfId="0" applyFont="1" applyAlignment="1">
      <alignment/>
    </xf>
    <xf numFmtId="0" fontId="6" fillId="0" borderId="12" xfId="0" applyFont="1" applyBorder="1" applyAlignment="1">
      <alignment horizontal="centerContinuous"/>
    </xf>
    <xf numFmtId="0" fontId="5" fillId="0" borderId="12" xfId="0" applyFont="1" applyBorder="1" applyAlignment="1">
      <alignment/>
    </xf>
    <xf numFmtId="176" fontId="5" fillId="0" borderId="7" xfId="0" applyNumberFormat="1" applyFont="1" applyBorder="1" applyAlignment="1">
      <alignment horizontal="right"/>
    </xf>
    <xf numFmtId="176" fontId="5" fillId="0" borderId="8" xfId="0" applyNumberFormat="1" applyFont="1" applyBorder="1" applyAlignment="1">
      <alignment horizontal="right"/>
    </xf>
    <xf numFmtId="176" fontId="5" fillId="0" borderId="0" xfId="0" applyNumberFormat="1" applyFont="1" applyBorder="1" applyAlignment="1">
      <alignment horizontal="right"/>
    </xf>
    <xf numFmtId="176" fontId="5" fillId="0" borderId="9" xfId="0" applyNumberFormat="1" applyFont="1" applyBorder="1" applyAlignment="1">
      <alignment horizontal="right"/>
    </xf>
    <xf numFmtId="0" fontId="6" fillId="0" borderId="10" xfId="0" applyFont="1" applyBorder="1" applyAlignment="1">
      <alignment horizontal="center"/>
    </xf>
    <xf numFmtId="174" fontId="5" fillId="0" borderId="7" xfId="0" applyNumberFormat="1" applyFont="1" applyBorder="1" applyAlignment="1">
      <alignment/>
    </xf>
    <xf numFmtId="174" fontId="5" fillId="0" borderId="0" xfId="0" applyNumberFormat="1" applyFont="1" applyBorder="1" applyAlignment="1">
      <alignment/>
    </xf>
    <xf numFmtId="174" fontId="5" fillId="0" borderId="8" xfId="0" applyNumberFormat="1" applyFont="1" applyBorder="1" applyAlignment="1">
      <alignment/>
    </xf>
    <xf numFmtId="174" fontId="5" fillId="0" borderId="9" xfId="0" applyNumberFormat="1" applyFont="1" applyBorder="1" applyAlignment="1">
      <alignment/>
    </xf>
    <xf numFmtId="0" fontId="0" fillId="0" borderId="4" xfId="0" applyBorder="1" applyAlignment="1">
      <alignment/>
    </xf>
    <xf numFmtId="0" fontId="0" fillId="0" borderId="10" xfId="0" applyBorder="1" applyAlignment="1">
      <alignment/>
    </xf>
    <xf numFmtId="0" fontId="0" fillId="0" borderId="6" xfId="0" applyBorder="1" applyAlignment="1">
      <alignment/>
    </xf>
    <xf numFmtId="0" fontId="5" fillId="0" borderId="3" xfId="0" applyFont="1" applyBorder="1" applyAlignment="1">
      <alignment horizontal="right"/>
    </xf>
    <xf numFmtId="172" fontId="5" fillId="0" borderId="7" xfId="0" applyNumberFormat="1" applyFont="1" applyBorder="1" applyAlignment="1">
      <alignment horizontal="right"/>
    </xf>
    <xf numFmtId="172" fontId="5" fillId="0" borderId="9" xfId="0" applyNumberFormat="1" applyFont="1" applyBorder="1" applyAlignment="1">
      <alignment horizontal="right"/>
    </xf>
    <xf numFmtId="170" fontId="5" fillId="0" borderId="1" xfId="0" applyNumberFormat="1" applyFont="1" applyBorder="1" applyAlignment="1">
      <alignment horizontal="center"/>
    </xf>
    <xf numFmtId="170" fontId="5" fillId="0" borderId="3" xfId="0" applyNumberFormat="1" applyFont="1" applyBorder="1" applyAlignment="1">
      <alignment horizontal="center"/>
    </xf>
    <xf numFmtId="168" fontId="5" fillId="0" borderId="7" xfId="0" applyNumberFormat="1" applyFont="1" applyBorder="1" applyAlignment="1">
      <alignment horizontal="right"/>
    </xf>
    <xf numFmtId="168" fontId="5" fillId="0" borderId="9" xfId="0" applyNumberFormat="1" applyFont="1" applyBorder="1" applyAlignment="1">
      <alignment horizontal="right"/>
    </xf>
    <xf numFmtId="176" fontId="5" fillId="0" borderId="7" xfId="0" applyNumberFormat="1" applyFont="1" applyBorder="1" applyAlignment="1">
      <alignment/>
    </xf>
    <xf numFmtId="176" fontId="5" fillId="0" borderId="0" xfId="0" applyNumberFormat="1" applyFont="1" applyBorder="1" applyAlignment="1">
      <alignment/>
    </xf>
    <xf numFmtId="176" fontId="5" fillId="0" borderId="8" xfId="0" applyNumberFormat="1" applyFont="1" applyBorder="1" applyAlignment="1">
      <alignment/>
    </xf>
    <xf numFmtId="176" fontId="5" fillId="0" borderId="9" xfId="0" applyNumberFormat="1" applyFont="1" applyBorder="1" applyAlignment="1">
      <alignment/>
    </xf>
    <xf numFmtId="0" fontId="6" fillId="0" borderId="0" xfId="0" applyFont="1" applyFill="1" applyBorder="1" applyAlignment="1">
      <alignment horizontal="left"/>
    </xf>
    <xf numFmtId="1" fontId="5" fillId="0" borderId="9" xfId="0" applyNumberFormat="1" applyFont="1" applyBorder="1" applyAlignment="1">
      <alignment horizontal="center"/>
    </xf>
    <xf numFmtId="0" fontId="0" fillId="0" borderId="5" xfId="0" applyBorder="1" applyAlignment="1">
      <alignment/>
    </xf>
    <xf numFmtId="1" fontId="4" fillId="0" borderId="0" xfId="0" applyNumberFormat="1" applyFont="1" applyAlignment="1">
      <alignment/>
    </xf>
    <xf numFmtId="1" fontId="0" fillId="0" borderId="0" xfId="0" applyNumberFormat="1" applyAlignment="1">
      <alignment/>
    </xf>
    <xf numFmtId="1" fontId="5" fillId="0" borderId="0" xfId="0" applyNumberFormat="1" applyFont="1" applyAlignment="1">
      <alignment/>
    </xf>
    <xf numFmtId="1" fontId="6" fillId="0" borderId="11" xfId="0" applyNumberFormat="1" applyFont="1" applyBorder="1" applyAlignment="1">
      <alignment horizontal="center"/>
    </xf>
    <xf numFmtId="1" fontId="5" fillId="0" borderId="3" xfId="0" applyNumberFormat="1" applyFont="1" applyBorder="1" applyAlignment="1">
      <alignment/>
    </xf>
    <xf numFmtId="1" fontId="5" fillId="0" borderId="9" xfId="0" applyNumberFormat="1" applyFont="1" applyBorder="1" applyAlignment="1" quotePrefix="1">
      <alignment horizontal="center"/>
    </xf>
    <xf numFmtId="1" fontId="5" fillId="0" borderId="4" xfId="0" applyNumberFormat="1" applyFont="1" applyBorder="1" applyAlignment="1">
      <alignment/>
    </xf>
    <xf numFmtId="1" fontId="5" fillId="0" borderId="5" xfId="0" applyNumberFormat="1" applyFont="1" applyBorder="1" applyAlignment="1">
      <alignment/>
    </xf>
    <xf numFmtId="0" fontId="6" fillId="0" borderId="10" xfId="0" applyFont="1" applyBorder="1" applyAlignment="1">
      <alignment horizontal="center"/>
    </xf>
    <xf numFmtId="1" fontId="5" fillId="0" borderId="7" xfId="0" applyNumberFormat="1" applyFont="1" applyBorder="1" applyAlignment="1" quotePrefix="1">
      <alignment horizontal="center"/>
    </xf>
    <xf numFmtId="0" fontId="5" fillId="0" borderId="0" xfId="0" applyFont="1" applyAlignment="1">
      <alignment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168" fontId="5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6" fillId="0" borderId="0" xfId="0" applyFont="1" applyBorder="1" applyAlignment="1">
      <alignment/>
    </xf>
    <xf numFmtId="165" fontId="5" fillId="0" borderId="0" xfId="0" applyNumberFormat="1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166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5" fillId="0" borderId="9" xfId="0" applyFont="1" applyFill="1" applyBorder="1" applyAlignment="1">
      <alignment horizontal="center"/>
    </xf>
    <xf numFmtId="170" fontId="5" fillId="0" borderId="9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11" xfId="0" applyFont="1" applyBorder="1" applyAlignment="1">
      <alignment horizontal="center"/>
    </xf>
    <xf numFmtId="175" fontId="5" fillId="2" borderId="7" xfId="0" applyNumberFormat="1" applyFont="1" applyFill="1" applyBorder="1" applyAlignment="1">
      <alignment horizontal="center"/>
    </xf>
    <xf numFmtId="175" fontId="5" fillId="2" borderId="8" xfId="0" applyNumberFormat="1" applyFont="1" applyFill="1" applyBorder="1" applyAlignment="1">
      <alignment horizontal="center"/>
    </xf>
    <xf numFmtId="175" fontId="5" fillId="2" borderId="9" xfId="0" applyNumberFormat="1" applyFont="1" applyFill="1" applyBorder="1" applyAlignment="1">
      <alignment horizontal="center"/>
    </xf>
    <xf numFmtId="175" fontId="5" fillId="2" borderId="0" xfId="0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comments" Target="../comments24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comments" Target="../comments27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56"/>
  <sheetViews>
    <sheetView tabSelected="1" workbookViewId="0" topLeftCell="A1">
      <selection activeCell="A2" sqref="A2"/>
    </sheetView>
  </sheetViews>
  <sheetFormatPr defaultColWidth="9.140625" defaultRowHeight="10.5" customHeight="1"/>
  <cols>
    <col min="1" max="1" width="18.7109375" style="3" customWidth="1"/>
    <col min="2" max="15" width="7.28125" style="3" customWidth="1"/>
    <col min="16" max="18" width="7.7109375" style="3" customWidth="1"/>
    <col min="19" max="16384" width="9.140625" style="3" customWidth="1"/>
  </cols>
  <sheetData>
    <row r="1" spans="1:30" ht="10.5" customHeight="1">
      <c r="A1" s="19" t="s">
        <v>34</v>
      </c>
      <c r="Q1"/>
      <c r="R1"/>
      <c r="S1"/>
      <c r="T1"/>
      <c r="U1"/>
      <c r="V1"/>
      <c r="W1"/>
      <c r="X1"/>
      <c r="Y1"/>
      <c r="Z1"/>
      <c r="AA1"/>
      <c r="AB1"/>
      <c r="AC1"/>
      <c r="AD1"/>
    </row>
    <row r="2" spans="1:30" ht="10.5" customHeight="1">
      <c r="A2" s="19"/>
      <c r="Q2"/>
      <c r="R2"/>
      <c r="S2"/>
      <c r="T2"/>
      <c r="U2"/>
      <c r="V2"/>
      <c r="W2"/>
      <c r="X2"/>
      <c r="Y2"/>
      <c r="Z2"/>
      <c r="AA2"/>
      <c r="AB2"/>
      <c r="AC2"/>
      <c r="AD2"/>
    </row>
    <row r="3" spans="1:30" ht="10.5" customHeight="1">
      <c r="A3" s="1" t="s">
        <v>7</v>
      </c>
      <c r="Q3"/>
      <c r="R3"/>
      <c r="S3"/>
      <c r="T3"/>
      <c r="U3"/>
      <c r="V3"/>
      <c r="W3"/>
      <c r="X3"/>
      <c r="Y3"/>
      <c r="Z3"/>
      <c r="AA3"/>
      <c r="AB3"/>
      <c r="AC3"/>
      <c r="AD3"/>
    </row>
    <row r="4" spans="1:30" ht="10.5" customHeight="1">
      <c r="A4" s="19"/>
      <c r="Q4"/>
      <c r="R4"/>
      <c r="S4"/>
      <c r="T4"/>
      <c r="U4"/>
      <c r="V4"/>
      <c r="W4"/>
      <c r="X4"/>
      <c r="Y4"/>
      <c r="Z4"/>
      <c r="AA4"/>
      <c r="AB4"/>
      <c r="AC4"/>
      <c r="AD4"/>
    </row>
    <row r="5" spans="1:30" ht="10.5" customHeight="1">
      <c r="A5"/>
      <c r="B5" s="34" t="s">
        <v>1</v>
      </c>
      <c r="C5" s="35"/>
      <c r="D5" s="34" t="s">
        <v>2</v>
      </c>
      <c r="E5" s="35"/>
      <c r="F5" s="34" t="s">
        <v>3</v>
      </c>
      <c r="G5" s="35"/>
      <c r="H5" s="34" t="s">
        <v>4</v>
      </c>
      <c r="I5" s="35"/>
      <c r="J5" s="34" t="s">
        <v>5</v>
      </c>
      <c r="K5" s="35"/>
      <c r="L5" s="34" t="s">
        <v>6</v>
      </c>
      <c r="M5" s="35"/>
      <c r="N5" s="34" t="s">
        <v>40</v>
      </c>
      <c r="O5" s="35"/>
      <c r="P5" s="34" t="s">
        <v>7</v>
      </c>
      <c r="Q5" s="35"/>
      <c r="R5" s="30" t="s">
        <v>8</v>
      </c>
      <c r="S5"/>
      <c r="T5"/>
      <c r="U5"/>
      <c r="V5"/>
      <c r="W5"/>
      <c r="X5"/>
      <c r="Y5"/>
      <c r="Z5"/>
      <c r="AA5"/>
      <c r="AB5"/>
      <c r="AC5"/>
      <c r="AD5"/>
    </row>
    <row r="6" spans="1:30" ht="10.5" customHeight="1">
      <c r="A6" s="7" t="s">
        <v>64</v>
      </c>
      <c r="B6" s="31" t="s">
        <v>9</v>
      </c>
      <c r="C6" s="32" t="s">
        <v>10</v>
      </c>
      <c r="D6" s="31" t="s">
        <v>9</v>
      </c>
      <c r="E6" s="32" t="s">
        <v>10</v>
      </c>
      <c r="F6" s="31" t="s">
        <v>9</v>
      </c>
      <c r="G6" s="32" t="s">
        <v>10</v>
      </c>
      <c r="H6" s="31" t="s">
        <v>9</v>
      </c>
      <c r="I6" s="32" t="s">
        <v>10</v>
      </c>
      <c r="J6" s="31" t="s">
        <v>9</v>
      </c>
      <c r="K6" s="32" t="s">
        <v>10</v>
      </c>
      <c r="L6" s="31" t="s">
        <v>9</v>
      </c>
      <c r="M6" s="32" t="s">
        <v>10</v>
      </c>
      <c r="N6" s="31" t="s">
        <v>9</v>
      </c>
      <c r="O6" s="32" t="s">
        <v>10</v>
      </c>
      <c r="P6" s="31" t="s">
        <v>9</v>
      </c>
      <c r="Q6" s="32" t="s">
        <v>10</v>
      </c>
      <c r="R6" s="33" t="s">
        <v>7</v>
      </c>
      <c r="S6"/>
      <c r="T6"/>
      <c r="U6"/>
      <c r="V6"/>
      <c r="W6"/>
      <c r="X6"/>
      <c r="Y6"/>
      <c r="Z6"/>
      <c r="AA6"/>
      <c r="AB6"/>
      <c r="AC6"/>
      <c r="AD6"/>
    </row>
    <row r="7" spans="1:30" ht="10.5" customHeight="1">
      <c r="A7"/>
      <c r="B7" s="4"/>
      <c r="C7" s="5"/>
      <c r="D7" s="4"/>
      <c r="E7" s="5"/>
      <c r="F7" s="4"/>
      <c r="G7" s="5"/>
      <c r="H7" s="4"/>
      <c r="I7" s="5"/>
      <c r="J7" s="4"/>
      <c r="K7" s="5"/>
      <c r="L7" s="4"/>
      <c r="M7" s="5"/>
      <c r="N7" s="4"/>
      <c r="O7" s="5"/>
      <c r="P7" s="4"/>
      <c r="Q7" s="5"/>
      <c r="R7" s="10"/>
      <c r="S7"/>
      <c r="T7"/>
      <c r="U7"/>
      <c r="V7"/>
      <c r="W7"/>
      <c r="X7"/>
      <c r="Y7"/>
      <c r="Z7"/>
      <c r="AA7"/>
      <c r="AB7"/>
      <c r="AC7"/>
      <c r="AD7"/>
    </row>
    <row r="8" spans="1:30" ht="10.5" customHeight="1">
      <c r="A8" s="17" t="s">
        <v>43</v>
      </c>
      <c r="B8" s="44">
        <f>PH!B6+OPT!B6+MA!B6+'CS'!B6+'CH'!B6+BYS!B6</f>
        <v>49</v>
      </c>
      <c r="C8" s="48">
        <f>PH!C6+OPT!C6+MA!C6+'CS'!C6+'CH'!C6+BYS!C6</f>
        <v>35</v>
      </c>
      <c r="D8" s="44">
        <f>PH!D6+OPT!D6+MA!D6+'CS'!D6+'CH'!D6+BYS!D6</f>
        <v>6</v>
      </c>
      <c r="E8" s="48">
        <f>PH!E6+OPT!E6+MA!E6+'CS'!E6+'CH'!E6+BYS!E6</f>
        <v>7</v>
      </c>
      <c r="F8" s="44">
        <f>PH!F6+OPT!F6+MA!F6+'CS'!F6+'CH'!F6+BYS!F6</f>
        <v>3</v>
      </c>
      <c r="G8" s="48">
        <f>PH!G6+OPT!G6+MA!G6+'CS'!G6+'CH'!G6+BYS!G6</f>
        <v>0</v>
      </c>
      <c r="H8" s="44">
        <f>PH!H6+OPT!H6+MA!H6+'CS'!H6+'CH'!H6+BYS!H6</f>
        <v>3</v>
      </c>
      <c r="I8" s="48">
        <f>PH!I6+OPT!I6+MA!I6+'CS'!I6+'CH'!I6+BYS!I6</f>
        <v>0</v>
      </c>
      <c r="J8" s="44">
        <f>PH!J6+OPT!J6+MA!J6+'CS'!J6+'CH'!J6+BYS!J6</f>
        <v>1</v>
      </c>
      <c r="K8" s="48">
        <f>PH!K6+OPT!K6+MA!K6+'CS'!K6+'CH'!K6+BYS!K6</f>
        <v>1</v>
      </c>
      <c r="L8" s="44">
        <f>PH!L6+OPT!L6+MA!L6+'CS'!L6+'CH'!L6+BYS!L6</f>
        <v>5</v>
      </c>
      <c r="M8" s="48">
        <f>PH!M6+OPT!M6+MA!M6+'CS'!M6+'CH'!M6+BYS!M6</f>
        <v>2</v>
      </c>
      <c r="N8" s="44">
        <f>'CS'!N6+'CH'!N6+BYS!N6</f>
        <v>0</v>
      </c>
      <c r="O8" s="48">
        <f>'CS'!O6+'CH'!O6+BYS!O6</f>
        <v>0</v>
      </c>
      <c r="P8" s="44">
        <f>SUM(BYS!P6,'CH'!P6,'CS'!P6,MA!P6,OPT!N6,PH!P6,)</f>
        <v>67</v>
      </c>
      <c r="Q8" s="48">
        <f>SUM(BYS!Q6,'CH'!Q6,'CS'!Q6,MA!Q6,OPT!O6,PH!Q6)</f>
        <v>45</v>
      </c>
      <c r="R8" s="46">
        <f>SUM(P8:Q8)</f>
        <v>112</v>
      </c>
      <c r="S8" s="123"/>
      <c r="T8" s="123"/>
      <c r="U8" s="71"/>
      <c r="V8"/>
      <c r="W8"/>
      <c r="X8"/>
      <c r="Y8"/>
      <c r="Z8"/>
      <c r="AA8"/>
      <c r="AB8"/>
      <c r="AC8"/>
      <c r="AD8"/>
    </row>
    <row r="9" spans="1:30" ht="10.5" customHeight="1">
      <c r="A9" s="52" t="s">
        <v>46</v>
      </c>
      <c r="B9" s="44">
        <f>PH!B7+OPT!B7+MA!B7+'CS'!B7+'CH'!B7+BYS!B7</f>
        <v>50</v>
      </c>
      <c r="C9" s="48">
        <f>PH!C7+OPT!C7+MA!C7+'CS'!C7+'CH'!C7+BYS!C7</f>
        <v>32</v>
      </c>
      <c r="D9" s="44">
        <f>PH!D7+OPT!D7+MA!D7+'CS'!D7+'CH'!D7+BYS!D7</f>
        <v>0</v>
      </c>
      <c r="E9" s="48">
        <f>PH!E7+OPT!E7+MA!E7+'CS'!E7+'CH'!E7+BYS!E7</f>
        <v>3</v>
      </c>
      <c r="F9" s="44">
        <f>PH!F7+OPT!F7+MA!F7+'CS'!F7+'CH'!F7+BYS!F7</f>
        <v>1</v>
      </c>
      <c r="G9" s="48">
        <f>PH!G7+OPT!G7+MA!G7+'CS'!G7+'CH'!G7+BYS!G7</f>
        <v>1</v>
      </c>
      <c r="H9" s="44">
        <f>PH!H7+OPT!H7+MA!H7+'CS'!H7+'CH'!H7+BYS!H7</f>
        <v>5</v>
      </c>
      <c r="I9" s="48">
        <f>PH!I7+OPT!I7+MA!I7+'CS'!I7+'CH'!I7+BYS!I7</f>
        <v>0</v>
      </c>
      <c r="J9" s="44">
        <f>PH!J7+OPT!J7+MA!J7+'CS'!J7+'CH'!J7+BYS!J7</f>
        <v>2</v>
      </c>
      <c r="K9" s="48">
        <f>PH!K7+OPT!K7+MA!K7+'CS'!K7+'CH'!K7+BYS!K7</f>
        <v>0</v>
      </c>
      <c r="L9" s="44">
        <f>PH!L7+OPT!L7+MA!L7+'CS'!L7+'CH'!L7+BYS!L7</f>
        <v>3</v>
      </c>
      <c r="M9" s="48">
        <f>PH!M7+OPT!M7+MA!M7+'CS'!M7+'CH'!M7+BYS!M7</f>
        <v>0</v>
      </c>
      <c r="N9" s="44">
        <f>'CS'!N7+'CH'!N7+BYS!N7</f>
        <v>0</v>
      </c>
      <c r="O9" s="48">
        <f>'CS'!O7+'CH'!O7+BYS!O7</f>
        <v>2</v>
      </c>
      <c r="P9" s="44">
        <f>SUM(BYS!P7,'CH'!P7,'CS'!P7,MA!P7,OPT!N7,PH!P7,)</f>
        <v>61</v>
      </c>
      <c r="Q9" s="48">
        <f>SUM(BYS!Q7,'CH'!Q7,'CS'!Q7,MA!Q7,OPT!O7,PH!Q7)</f>
        <v>38</v>
      </c>
      <c r="R9" s="46">
        <f>SUM(P9:Q9)</f>
        <v>99</v>
      </c>
      <c r="S9" s="123"/>
      <c r="T9" s="123"/>
      <c r="U9" s="71"/>
      <c r="V9"/>
      <c r="W9"/>
      <c r="X9"/>
      <c r="Y9"/>
      <c r="Z9"/>
      <c r="AA9"/>
      <c r="AB9"/>
      <c r="AC9"/>
      <c r="AD9"/>
    </row>
    <row r="10" spans="1:30" ht="10.5" customHeight="1">
      <c r="A10" s="52" t="s">
        <v>49</v>
      </c>
      <c r="B10" s="44">
        <f>PH!B8+OPT!B8+MA!B8+'CS'!B8+'CH'!B8+BYS!B8</f>
        <v>44</v>
      </c>
      <c r="C10" s="48">
        <f>PH!C8+OPT!C8+MA!C8+'CS'!C8+'CH'!C8+BYS!C8</f>
        <v>54</v>
      </c>
      <c r="D10" s="44">
        <f>PH!D8+OPT!D8+MA!D8+'CS'!D8+'CH'!D8+BYS!D8</f>
        <v>1</v>
      </c>
      <c r="E10" s="48">
        <f>PH!E8+OPT!E8+MA!E8+'CS'!E8+'CH'!E8+BYS!E8</f>
        <v>10</v>
      </c>
      <c r="F10" s="44">
        <f>PH!F8+OPT!F8+MA!F8+'CS'!F8+'CH'!F8+BYS!F8</f>
        <v>0</v>
      </c>
      <c r="G10" s="48">
        <f>PH!G8+OPT!G8+MA!G8+'CS'!G8+'CH'!G8+BYS!G8</f>
        <v>1</v>
      </c>
      <c r="H10" s="44">
        <f>PH!H8+OPT!H8+MA!H8+'CS'!H8+'CH'!H8+BYS!H8</f>
        <v>5</v>
      </c>
      <c r="I10" s="48">
        <f>PH!I8+OPT!I8+MA!I8+'CS'!I8+'CH'!I8+BYS!I8</f>
        <v>5</v>
      </c>
      <c r="J10" s="44">
        <f>PH!J8+OPT!J8+MA!J8+'CS'!J8+'CH'!J8+BYS!J8</f>
        <v>0</v>
      </c>
      <c r="K10" s="48">
        <f>PH!K8+OPT!K8+MA!K8+'CS'!K8+'CH'!K8+BYS!K8</f>
        <v>2</v>
      </c>
      <c r="L10" s="44">
        <f>PH!L8+OPT!L8+MA!L8+'CS'!L8+'CH'!L8+BYS!L8</f>
        <v>3</v>
      </c>
      <c r="M10" s="48">
        <f>PH!M8+OPT!M8+MA!M8+'CS'!M8+'CH'!M8+BYS!M8</f>
        <v>2</v>
      </c>
      <c r="N10" s="44">
        <f>'CS'!N8+'CH'!N8+BYS!N8</f>
        <v>2</v>
      </c>
      <c r="O10" s="48">
        <f>'CS'!O8+'CH'!O8+BYS!O8</f>
        <v>0</v>
      </c>
      <c r="P10" s="44">
        <f>SUM(BYS!P8,'CH'!P8,'CS'!P8,MA!P8,OPT!N8,PH!P8,)</f>
        <v>55</v>
      </c>
      <c r="Q10" s="48">
        <f>SUM(BYS!Q8,'CH'!Q8,'CS'!Q8,MA!Q8,OPT!O8,PH!Q8)</f>
        <v>74</v>
      </c>
      <c r="R10" s="46">
        <f>SUM(P10:Q10)</f>
        <v>129</v>
      </c>
      <c r="S10" s="123"/>
      <c r="T10" s="123"/>
      <c r="U10" s="71"/>
      <c r="V10"/>
      <c r="W10"/>
      <c r="X10"/>
      <c r="Y10"/>
      <c r="Z10"/>
      <c r="AA10"/>
      <c r="AB10"/>
      <c r="AC10"/>
      <c r="AD10"/>
    </row>
    <row r="11" spans="1:30" ht="10.5" customHeight="1">
      <c r="A11" s="52" t="s">
        <v>58</v>
      </c>
      <c r="B11" s="44">
        <f>PH!B9+OPT!B9+MA!B9+'CS'!B9+'CH'!B9+BYS!B9</f>
        <v>54</v>
      </c>
      <c r="C11" s="48">
        <f>PH!C9+OPT!C9+MA!C9+'CS'!C9+'CH'!C9+BYS!C9</f>
        <v>45</v>
      </c>
      <c r="D11" s="44">
        <f>PH!D9+OPT!D9+MA!D9+'CS'!D9+'CH'!D9+BYS!D9</f>
        <v>2</v>
      </c>
      <c r="E11" s="48">
        <f>PH!E9+OPT!E9+MA!E9+'CS'!E9+'CH'!E9+BYS!E9</f>
        <v>14</v>
      </c>
      <c r="F11" s="44">
        <f>PH!F9+OPT!F9+MA!F9+'CS'!F9+'CH'!F9+BYS!F9</f>
        <v>1</v>
      </c>
      <c r="G11" s="48">
        <f>PH!G9+OPT!G9+MA!G9+'CS'!G9+'CH'!G9+BYS!G9</f>
        <v>0</v>
      </c>
      <c r="H11" s="44">
        <f>PH!H9+OPT!H9+MA!H9+'CS'!H9+'CH'!H9+BYS!H9</f>
        <v>2</v>
      </c>
      <c r="I11" s="48">
        <f>PH!I9+OPT!I9+MA!I9+'CS'!I9+'CH'!I9+BYS!I9</f>
        <v>3</v>
      </c>
      <c r="J11" s="44">
        <f>PH!J9+OPT!J9+MA!J9+'CS'!J9+'CH'!J9+BYS!J9</f>
        <v>0</v>
      </c>
      <c r="K11" s="48">
        <f>PH!K9+OPT!K9+MA!K9+'CS'!K9+'CH'!K9+BYS!K9</f>
        <v>0</v>
      </c>
      <c r="L11" s="44">
        <f>PH!L9+OPT!L9+MA!L9+'CS'!L9+'CH'!L9+BYS!L9</f>
        <v>2</v>
      </c>
      <c r="M11" s="48">
        <f>PH!M9+OPT!M9+MA!M9+'CS'!M9+'CH'!M9+BYS!M9</f>
        <v>0</v>
      </c>
      <c r="N11" s="44">
        <f>'CS'!N9+'CH'!N9+BYS!N9</f>
        <v>0</v>
      </c>
      <c r="O11" s="48">
        <f>'CS'!O9+'CH'!O9+BYS!O9</f>
        <v>1</v>
      </c>
      <c r="P11" s="44">
        <f>SUM(BYS!P9,'CH'!P9,'CS'!P9,MA!P9,OPT!N9,PH!P9,)</f>
        <v>61</v>
      </c>
      <c r="Q11" s="48">
        <f>SUM(BYS!Q9,'CH'!Q9,'CS'!Q9,MA!Q9,OPT!O9,PH!Q9)</f>
        <v>64</v>
      </c>
      <c r="R11" s="46">
        <f>SUM(P11:Q11)</f>
        <v>125</v>
      </c>
      <c r="S11" s="123"/>
      <c r="T11" s="123"/>
      <c r="U11" s="71"/>
      <c r="V11"/>
      <c r="W11"/>
      <c r="X11"/>
      <c r="Y11"/>
      <c r="Z11"/>
      <c r="AA11"/>
      <c r="AB11"/>
      <c r="AC11"/>
      <c r="AD11"/>
    </row>
    <row r="12" spans="1:30" ht="10.5" customHeight="1">
      <c r="A12" s="52" t="s">
        <v>60</v>
      </c>
      <c r="B12" s="44">
        <f>PH!B10+OPT!B10+MA!B10+'CS'!B10+'CH'!B10+BYS!B10</f>
        <v>53</v>
      </c>
      <c r="C12" s="48">
        <f>PH!C10+OPT!C10+MA!C10+'CS'!C10+'CH'!C10+BYS!C10</f>
        <v>34</v>
      </c>
      <c r="D12" s="44">
        <f>PH!D10+OPT!D10+MA!D10+'CS'!D10+'CH'!D10+BYS!D10</f>
        <v>4</v>
      </c>
      <c r="E12" s="48">
        <f>PH!E10+OPT!E10+MA!E10+'CS'!E10+'CH'!E10+BYS!E10</f>
        <v>15</v>
      </c>
      <c r="F12" s="44">
        <f>PH!F10+OPT!F10+MA!F10+'CS'!F10+'CH'!F10+BYS!F10</f>
        <v>3</v>
      </c>
      <c r="G12" s="48">
        <f>PH!G10+OPT!G10+MA!G10+'CS'!G10+'CH'!G10+BYS!G10</f>
        <v>2</v>
      </c>
      <c r="H12" s="44">
        <f>PH!H10+OPT!H10+MA!H10+'CS'!H10+'CH'!H10+BYS!H10</f>
        <v>3</v>
      </c>
      <c r="I12" s="48">
        <f>PH!I10+OPT!I10+MA!I10+'CS'!I10+'CH'!I10+BYS!I10</f>
        <v>3</v>
      </c>
      <c r="J12" s="44">
        <f>PH!J10+OPT!J10+MA!J10+'CS'!J10+'CH'!J10+BYS!J10</f>
        <v>0</v>
      </c>
      <c r="K12" s="48">
        <f>PH!K10+OPT!K10+MA!K10+'CS'!K10+'CH'!K10+BYS!K10</f>
        <v>1</v>
      </c>
      <c r="L12" s="44">
        <f>PH!L10+OPT!L10+MA!L10+'CS'!L10+'CH'!L10+BYS!L10</f>
        <v>1</v>
      </c>
      <c r="M12" s="48">
        <f>PH!M10+OPT!M10+MA!M10+'CS'!M10+'CH'!M10+BYS!M10</f>
        <v>4</v>
      </c>
      <c r="N12" s="44">
        <f>'CS'!N10+'CH'!N10+BYS!N10</f>
        <v>1</v>
      </c>
      <c r="O12" s="48">
        <f>'CS'!O10+'CH'!O10+BYS!O10</f>
        <v>0</v>
      </c>
      <c r="P12" s="44">
        <f>SUM(BYS!P10,'CH'!P10,'CS'!P10,MA!P10,OPT!N10,PH!P10,)</f>
        <v>65</v>
      </c>
      <c r="Q12" s="48">
        <f>SUM(BYS!Q10,'CH'!Q10,'CS'!Q10,MA!Q10,OPT!O10,PH!Q10)</f>
        <v>59</v>
      </c>
      <c r="R12" s="46">
        <f>SUM(P12:Q12)</f>
        <v>124</v>
      </c>
      <c r="S12" s="123"/>
      <c r="T12" s="123"/>
      <c r="U12" s="71"/>
      <c r="V12"/>
      <c r="W12"/>
      <c r="X12"/>
      <c r="Y12"/>
      <c r="Z12"/>
      <c r="AA12"/>
      <c r="AB12"/>
      <c r="AC12"/>
      <c r="AD12"/>
    </row>
    <row r="13" spans="2:30" ht="10.5" customHeight="1">
      <c r="B13" s="11"/>
      <c r="C13" s="12"/>
      <c r="D13" s="11"/>
      <c r="E13" s="12"/>
      <c r="F13" s="11"/>
      <c r="G13" s="12"/>
      <c r="H13" s="11"/>
      <c r="I13" s="20"/>
      <c r="J13" s="11"/>
      <c r="K13" s="12"/>
      <c r="L13" s="11"/>
      <c r="M13" s="12"/>
      <c r="N13" s="11"/>
      <c r="O13" s="12"/>
      <c r="P13" s="11"/>
      <c r="Q13" s="12"/>
      <c r="R13" s="13"/>
      <c r="S13" s="123"/>
      <c r="T13" s="123"/>
      <c r="U13"/>
      <c r="V13"/>
      <c r="W13"/>
      <c r="X13"/>
      <c r="Y13"/>
      <c r="Z13"/>
      <c r="AA13"/>
      <c r="AB13"/>
      <c r="AC13"/>
      <c r="AD13"/>
    </row>
    <row r="14" spans="2:30" ht="10.5" customHeight="1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123"/>
      <c r="T14" s="123"/>
      <c r="U14"/>
      <c r="V14"/>
      <c r="W14"/>
      <c r="X14"/>
      <c r="Y14"/>
      <c r="Z14"/>
      <c r="AA14"/>
      <c r="AB14"/>
      <c r="AC14"/>
      <c r="AD14"/>
    </row>
    <row r="15" spans="1:30" ht="10.5" customHeight="1">
      <c r="A15"/>
      <c r="B15" s="34" t="s">
        <v>1</v>
      </c>
      <c r="C15" s="35"/>
      <c r="D15" s="34" t="s">
        <v>2</v>
      </c>
      <c r="E15" s="35"/>
      <c r="F15" s="34" t="s">
        <v>3</v>
      </c>
      <c r="G15" s="35"/>
      <c r="H15" s="34" t="s">
        <v>4</v>
      </c>
      <c r="I15" s="35"/>
      <c r="J15" s="34" t="s">
        <v>5</v>
      </c>
      <c r="K15" s="35"/>
      <c r="L15" s="34" t="s">
        <v>6</v>
      </c>
      <c r="M15" s="35"/>
      <c r="N15" s="34" t="s">
        <v>40</v>
      </c>
      <c r="O15" s="35"/>
      <c r="P15" s="34" t="s">
        <v>7</v>
      </c>
      <c r="Q15" s="35"/>
      <c r="R15" s="30" t="s">
        <v>8</v>
      </c>
      <c r="S15" s="123"/>
      <c r="T15" s="123"/>
      <c r="U15"/>
      <c r="V15"/>
      <c r="W15"/>
      <c r="X15"/>
      <c r="Y15"/>
      <c r="Z15"/>
      <c r="AA15"/>
      <c r="AB15"/>
      <c r="AC15"/>
      <c r="AD15"/>
    </row>
    <row r="16" spans="1:30" ht="10.5" customHeight="1">
      <c r="A16" s="54" t="s">
        <v>63</v>
      </c>
      <c r="B16" s="31" t="s">
        <v>9</v>
      </c>
      <c r="C16" s="32" t="s">
        <v>10</v>
      </c>
      <c r="D16" s="31" t="s">
        <v>9</v>
      </c>
      <c r="E16" s="32" t="s">
        <v>10</v>
      </c>
      <c r="F16" s="31" t="s">
        <v>9</v>
      </c>
      <c r="G16" s="32" t="s">
        <v>10</v>
      </c>
      <c r="H16" s="31" t="s">
        <v>9</v>
      </c>
      <c r="I16" s="32" t="s">
        <v>10</v>
      </c>
      <c r="J16" s="31" t="s">
        <v>9</v>
      </c>
      <c r="K16" s="32" t="s">
        <v>10</v>
      </c>
      <c r="L16" s="31" t="s">
        <v>9</v>
      </c>
      <c r="M16" s="32" t="s">
        <v>10</v>
      </c>
      <c r="N16" s="31" t="s">
        <v>9</v>
      </c>
      <c r="O16" s="32" t="s">
        <v>10</v>
      </c>
      <c r="P16" s="31" t="s">
        <v>9</v>
      </c>
      <c r="Q16" s="32" t="s">
        <v>10</v>
      </c>
      <c r="R16" s="33" t="s">
        <v>7</v>
      </c>
      <c r="S16" s="123"/>
      <c r="T16" s="123"/>
      <c r="U16"/>
      <c r="V16"/>
      <c r="W16"/>
      <c r="X16"/>
      <c r="Y16"/>
      <c r="Z16"/>
      <c r="AA16"/>
      <c r="AB16"/>
      <c r="AC16"/>
      <c r="AD16"/>
    </row>
    <row r="17" spans="1:30" ht="10.5" customHeight="1">
      <c r="A17" s="7"/>
      <c r="B17" s="55"/>
      <c r="C17" s="17"/>
      <c r="D17" s="55"/>
      <c r="E17" s="17"/>
      <c r="F17" s="55"/>
      <c r="G17" s="17"/>
      <c r="H17" s="55"/>
      <c r="I17" s="17"/>
      <c r="J17" s="55"/>
      <c r="K17" s="17"/>
      <c r="L17" s="55"/>
      <c r="M17" s="17"/>
      <c r="N17" s="55"/>
      <c r="O17" s="17"/>
      <c r="P17" s="55"/>
      <c r="Q17" s="17"/>
      <c r="R17" s="56"/>
      <c r="S17" s="123"/>
      <c r="T17" s="123"/>
      <c r="U17"/>
      <c r="V17"/>
      <c r="W17"/>
      <c r="X17"/>
      <c r="Y17"/>
      <c r="Z17"/>
      <c r="AA17"/>
      <c r="AB17"/>
      <c r="AC17"/>
      <c r="AD17"/>
    </row>
    <row r="18" spans="1:30" ht="10.5" customHeight="1">
      <c r="A18" s="17" t="s">
        <v>43</v>
      </c>
      <c r="B18" s="44">
        <f>SWE!B6+PH!B16+MTS!B6+MA!B16+'CS'!B16+'CH'!B16+BYS!B16+ATS!B6</f>
        <v>25</v>
      </c>
      <c r="C18" s="48">
        <f>SWE!C6+PH!C16+MTS!C6+MA!C16+'CS'!C16+'CH'!C16+BYS!C16+ATS!C6</f>
        <v>9</v>
      </c>
      <c r="D18" s="44">
        <f>SWE!D6+PH!D16+MTS!D6+MA!D16+'CS'!D16+'CH'!D16+BYS!D16+ATS!D6</f>
        <v>2</v>
      </c>
      <c r="E18" s="48">
        <f>SWE!E6+PH!E16+MTS!E6+MA!E16+'CS'!E16+'CH'!E16+BYS!E16+ATS!E6</f>
        <v>1</v>
      </c>
      <c r="F18" s="44">
        <f>SWE!F6+PH!F16+MTS!F6+MA!F16+'CS'!F16+'CH'!F16+BYS!F16+ATS!F6</f>
        <v>1</v>
      </c>
      <c r="G18" s="48">
        <f>SWE!G6+PH!G16+MTS!G6+MA!G16+'CS'!G16+'CH'!G16+BYS!G16+ATS!G6</f>
        <v>0</v>
      </c>
      <c r="H18" s="44">
        <f>SWE!H6+PH!H16+MTS!H6+MA!H16+'CS'!H16+'CH'!H16+BYS!H16+ATS!H6</f>
        <v>1</v>
      </c>
      <c r="I18" s="48">
        <f>SWE!I6+PH!I16+MTS!I6+MA!I16+'CS'!I16+'CH'!I16+BYS!I16+ATS!I6</f>
        <v>0</v>
      </c>
      <c r="J18" s="44">
        <f>SWE!J6+PH!J16+MTS!J6+MA!J16+'CS'!J16+'CH'!J16+BYS!J16+ATS!J6</f>
        <v>0</v>
      </c>
      <c r="K18" s="48">
        <f>SWE!K6+PH!K16+MTS!K6+MA!K16+'CS'!K16+'CH'!K16+BYS!K16+ATS!K6</f>
        <v>0</v>
      </c>
      <c r="L18" s="44">
        <f>SWE!L6+PH!L16+MTS!L6+MA!L16+'CS'!L16+'CH'!L16+BYS!L16+ATS!L6</f>
        <v>35</v>
      </c>
      <c r="M18" s="48">
        <f>SWE!M6+PH!M16+MTS!M6+MA!M16+'CS'!M16+'CH'!M16+BYS!M16+ATS!M6</f>
        <v>16</v>
      </c>
      <c r="N18" s="44">
        <f>'CS'!N16+'CH'!N16+BYS!N16</f>
        <v>0</v>
      </c>
      <c r="O18" s="48">
        <f>'CS'!O16+'CH'!O16+BYS!O16</f>
        <v>0</v>
      </c>
      <c r="P18" s="44">
        <f>SWE!P6+PH!P16+MTS!N6+MA!P16+'CS'!P16+'CH'!P16+BYS!P16+ATS!N6</f>
        <v>64</v>
      </c>
      <c r="Q18" s="48">
        <f>SWE!Q6+PH!Q16+MTS!O6+MA!Q16+'CS'!Q16+'CH'!Q16+BYS!Q16+ATS!O6</f>
        <v>26</v>
      </c>
      <c r="R18" s="46">
        <f>SUM(P18:Q18)</f>
        <v>90</v>
      </c>
      <c r="S18" s="123"/>
      <c r="T18" s="123"/>
      <c r="U18" s="71"/>
      <c r="V18"/>
      <c r="W18"/>
      <c r="X18"/>
      <c r="Y18"/>
      <c r="Z18"/>
      <c r="AA18"/>
      <c r="AB18"/>
      <c r="AC18"/>
      <c r="AD18"/>
    </row>
    <row r="19" spans="1:30" ht="10.5" customHeight="1">
      <c r="A19" s="52" t="s">
        <v>46</v>
      </c>
      <c r="B19" s="44">
        <f>SWE!B7+PH!B17+MTS!B7+MA!B17+'CS'!B17+'CH'!B17+BYS!B17+ATS!B7</f>
        <v>17</v>
      </c>
      <c r="C19" s="48">
        <f>SWE!C7+PH!C17+MTS!C7+MA!C17+'CS'!C17+'CH'!C17+BYS!C17+ATS!C7</f>
        <v>9</v>
      </c>
      <c r="D19" s="44">
        <f>SWE!D7+PH!D17+MTS!D7+MA!D17+'CS'!D17+'CH'!D17+BYS!D17+ATS!D7</f>
        <v>0</v>
      </c>
      <c r="E19" s="48">
        <f>SWE!E7+PH!E17+MTS!E7+MA!E17+'CS'!E17+'CH'!E17+BYS!E17+ATS!E7</f>
        <v>1</v>
      </c>
      <c r="F19" s="44">
        <f>SWE!F7+PH!F17+MTS!F7+MA!F17+'CS'!F17+'CH'!F17+BYS!F17+ATS!F7</f>
        <v>0</v>
      </c>
      <c r="G19" s="48">
        <f>SWE!G7+PH!G17+MTS!G7+MA!G17+'CS'!G17+'CH'!G17+BYS!G17+ATS!G7</f>
        <v>0</v>
      </c>
      <c r="H19" s="44">
        <f>SWE!H7+PH!H17+MTS!H7+MA!H17+'CS'!H17+'CH'!H17+BYS!H17+ATS!H7</f>
        <v>1</v>
      </c>
      <c r="I19" s="48">
        <f>SWE!I7+PH!I17+MTS!I7+MA!I17+'CS'!I17+'CH'!I17+BYS!I17+ATS!I7</f>
        <v>1</v>
      </c>
      <c r="J19" s="44">
        <f>SWE!J7+PH!J17+MTS!J7+MA!J17+'CS'!J17+'CH'!J17+BYS!J17+ATS!J7</f>
        <v>1</v>
      </c>
      <c r="K19" s="48">
        <f>SWE!K7+PH!K17+MTS!K7+MA!K17+'CS'!K17+'CH'!K17+BYS!K17+ATS!K7</f>
        <v>0</v>
      </c>
      <c r="L19" s="44">
        <f>SWE!L7+PH!L17+MTS!L7+MA!L17+'CS'!L17+'CH'!L17+BYS!L17+ATS!L7</f>
        <v>25</v>
      </c>
      <c r="M19" s="48">
        <f>SWE!M7+PH!M17+MTS!M7+MA!M17+'CS'!M17+'CH'!M17+BYS!M17+ATS!M7</f>
        <v>9</v>
      </c>
      <c r="N19" s="44">
        <f>'CS'!N17+'CH'!N17+BYS!N17</f>
        <v>1</v>
      </c>
      <c r="O19" s="48">
        <f>'CS'!O17+'CH'!O17+BYS!O17</f>
        <v>2</v>
      </c>
      <c r="P19" s="44">
        <f>SWE!P7+PH!P17+MTS!N7+MA!P17+'CS'!P17+'CH'!P17+BYS!P17+ATS!N7</f>
        <v>45</v>
      </c>
      <c r="Q19" s="48">
        <f>SWE!Q7+PH!Q17+MTS!O7+MA!Q17+'CS'!Q17+'CH'!Q17+BYS!Q17+ATS!O7</f>
        <v>22</v>
      </c>
      <c r="R19" s="46">
        <f>SUM(P19:Q19)</f>
        <v>67</v>
      </c>
      <c r="S19" s="123"/>
      <c r="T19" s="123"/>
      <c r="U19" s="71"/>
      <c r="V19"/>
      <c r="W19"/>
      <c r="X19"/>
      <c r="Y19"/>
      <c r="Z19"/>
      <c r="AA19"/>
      <c r="AB19"/>
      <c r="AC19"/>
      <c r="AD19"/>
    </row>
    <row r="20" spans="1:30" ht="10.5" customHeight="1">
      <c r="A20" s="52" t="s">
        <v>49</v>
      </c>
      <c r="B20" s="44">
        <f>SWE!B8+PH!B18+MTS!B8+MA!B18+'CS'!B18+'CH'!B18+BYS!B18+ATS!B8</f>
        <v>20</v>
      </c>
      <c r="C20" s="48">
        <f>SWE!C8+PH!C18+MTS!C8+MA!C18+'CS'!C18+'CH'!C18+BYS!C18+ATS!C8</f>
        <v>16</v>
      </c>
      <c r="D20" s="44">
        <f>SWE!D8+PH!D18+MTS!D8+MA!D18+'CS'!D18+'CH'!D18+BYS!D18+ATS!D8</f>
        <v>0</v>
      </c>
      <c r="E20" s="48">
        <f>SWE!E8+PH!E18+MTS!E8+MA!E18+'CS'!E18+'CH'!E18+BYS!E18+ATS!E8</f>
        <v>3</v>
      </c>
      <c r="F20" s="44">
        <f>SWE!F8+PH!F18+MTS!F8+MA!F18+'CS'!F18+'CH'!F18+BYS!F18+ATS!F8</f>
        <v>0</v>
      </c>
      <c r="G20" s="48">
        <f>SWE!G8+PH!G18+MTS!G8+MA!G18+'CS'!G18+'CH'!G18+BYS!G18+ATS!G8</f>
        <v>0</v>
      </c>
      <c r="H20" s="44">
        <f>SWE!H8+PH!H18+MTS!H8+MA!H18+'CS'!H18+'CH'!H18+BYS!H18+ATS!H8</f>
        <v>2</v>
      </c>
      <c r="I20" s="48">
        <f>SWE!I8+PH!I18+MTS!I8+MA!I18+'CS'!I18+'CH'!I18+BYS!I18+ATS!I8</f>
        <v>0</v>
      </c>
      <c r="J20" s="44">
        <f>SWE!J8+PH!J18+MTS!J8+MA!J18+'CS'!J18+'CH'!J18+BYS!J18+ATS!J8</f>
        <v>0</v>
      </c>
      <c r="K20" s="48">
        <f>SWE!K8+PH!K18+MTS!K8+MA!K18+'CS'!K18+'CH'!K18+BYS!K18+ATS!K8</f>
        <v>0</v>
      </c>
      <c r="L20" s="44">
        <f>SWE!L8+PH!L18+MTS!L8+MA!L18+'CS'!L18+'CH'!L18+BYS!L18+ATS!L8</f>
        <v>18</v>
      </c>
      <c r="M20" s="48">
        <f>SWE!M8+PH!M18+MTS!M8+MA!M18+'CS'!M18+'CH'!M18+BYS!M18+ATS!M8</f>
        <v>9</v>
      </c>
      <c r="N20" s="44">
        <f>'CS'!N18+'CH'!N18+BYS!N18</f>
        <v>0</v>
      </c>
      <c r="O20" s="48">
        <f>'CS'!O18+'CH'!O18+BYS!O18</f>
        <v>1</v>
      </c>
      <c r="P20" s="44">
        <f>SWE!P8+PH!P18+MTS!N8+MA!P18+'CS'!P18+'CH'!P18+BYS!P18+ATS!N8</f>
        <v>40</v>
      </c>
      <c r="Q20" s="48">
        <f>SWE!Q8+PH!Q18+MTS!O8+MA!Q18+'CS'!Q18+'CH'!Q18+BYS!Q18+ATS!O8</f>
        <v>30</v>
      </c>
      <c r="R20" s="46">
        <f>SUM(P20:Q20)</f>
        <v>70</v>
      </c>
      <c r="S20" s="123"/>
      <c r="T20" s="123"/>
      <c r="U20" s="71"/>
      <c r="V20"/>
      <c r="W20"/>
      <c r="X20"/>
      <c r="Y20"/>
      <c r="Z20"/>
      <c r="AA20"/>
      <c r="AB20"/>
      <c r="AC20"/>
      <c r="AD20"/>
    </row>
    <row r="21" spans="1:30" ht="10.5" customHeight="1">
      <c r="A21" s="52" t="s">
        <v>58</v>
      </c>
      <c r="B21" s="44">
        <f>SWE!B9+PH!B19+MTS!B9+MA!B19+'CS'!B19+'CH'!B19+BYS!B19+ATS!B9</f>
        <v>15</v>
      </c>
      <c r="C21" s="48">
        <f>SWE!C9+PH!C19+MTS!C9+MA!C19+'CS'!C19+'CH'!C19+BYS!C19+ATS!C9</f>
        <v>10</v>
      </c>
      <c r="D21" s="44">
        <f>SWE!D9+PH!D19+MTS!D9+MA!D19+'CS'!D19+'CH'!D19+BYS!D19+ATS!D9</f>
        <v>2</v>
      </c>
      <c r="E21" s="48">
        <f>SWE!E9+PH!E19+MTS!E9+MA!E19+'CS'!E19+'CH'!E19+BYS!E19+ATS!E9</f>
        <v>1</v>
      </c>
      <c r="F21" s="44">
        <f>SWE!F9+PH!F19+MTS!F9+MA!F19+'CS'!F19+'CH'!F19+BYS!F19+ATS!F9</f>
        <v>0</v>
      </c>
      <c r="G21" s="48">
        <f>SWE!G9+PH!G19+MTS!G9+MA!G19+'CS'!G19+'CH'!G19+BYS!G19+ATS!G9</f>
        <v>0</v>
      </c>
      <c r="H21" s="44">
        <f>SWE!H9+PH!H19+MTS!H9+MA!H19+'CS'!H19+'CH'!H19+BYS!H19+ATS!H9</f>
        <v>0</v>
      </c>
      <c r="I21" s="48">
        <f>SWE!I9+PH!I19+MTS!I9+MA!I19+'CS'!I19+'CH'!I19+BYS!I19+ATS!I9</f>
        <v>1</v>
      </c>
      <c r="J21" s="44">
        <f>SWE!J9+PH!J19+MTS!J9+MA!J19+'CS'!J19+'CH'!J19+BYS!J19+ATS!J9</f>
        <v>0</v>
      </c>
      <c r="K21" s="48">
        <f>SWE!K9+PH!K19+MTS!K9+MA!K19+'CS'!K19+'CH'!K19+BYS!K19+ATS!K9</f>
        <v>0</v>
      </c>
      <c r="L21" s="44">
        <f>SWE!L9+PH!L19+MTS!L9+MA!L19+'CS'!L19+'CH'!L19+BYS!L19+ATS!L9</f>
        <v>20</v>
      </c>
      <c r="M21" s="48">
        <f>SWE!M9+PH!M19+MTS!M9+MA!M19+'CS'!M19+'CH'!M19+BYS!M19+ATS!M9</f>
        <v>15</v>
      </c>
      <c r="N21" s="44">
        <f>'CS'!N19+'CH'!N19+BYS!N19+SWE!N19</f>
        <v>1</v>
      </c>
      <c r="O21" s="48">
        <f>'CS'!O19+'CH'!O19+BYS!O19+SWE!O9</f>
        <v>0</v>
      </c>
      <c r="P21" s="44">
        <f>SWE!P9+PH!P19+MTS!N9+MA!P19+'CS'!P19+'CH'!P19+BYS!P19+ATS!N9</f>
        <v>38</v>
      </c>
      <c r="Q21" s="48">
        <f>SWE!Q9+PH!Q19+MTS!O9+MA!Q19+'CS'!Q19+'CH'!Q19+BYS!Q19+ATS!O9</f>
        <v>27</v>
      </c>
      <c r="R21" s="46">
        <f>SUM(P21:Q21)</f>
        <v>65</v>
      </c>
      <c r="S21" s="123"/>
      <c r="T21" s="123"/>
      <c r="U21" s="71"/>
      <c r="V21"/>
      <c r="W21"/>
      <c r="X21"/>
      <c r="Y21"/>
      <c r="Z21"/>
      <c r="AA21"/>
      <c r="AB21"/>
      <c r="AC21"/>
      <c r="AD21"/>
    </row>
    <row r="22" spans="1:30" ht="10.5" customHeight="1">
      <c r="A22" s="52" t="s">
        <v>60</v>
      </c>
      <c r="B22" s="44">
        <f>SWE!B10+PH!B20+MTS!B10+MA!B20+'CS'!B20+'CH'!B20+BYS!B20+ATS!B10</f>
        <v>28</v>
      </c>
      <c r="C22" s="48">
        <f>SWE!C10+PH!C20+MTS!C10+MA!C20+'CS'!C20+'CH'!C20+BYS!C20+ATS!C10</f>
        <v>12</v>
      </c>
      <c r="D22" s="44">
        <f>SWE!D10+PH!D20+MTS!D10+MA!D20+'CS'!D20+'CH'!D20+BYS!D20+ATS!D10</f>
        <v>1</v>
      </c>
      <c r="E22" s="48">
        <f>SWE!E10+PH!E20+MTS!E10+MA!E20+'CS'!E20+'CH'!E20+BYS!E20+ATS!E10</f>
        <v>0</v>
      </c>
      <c r="F22" s="44">
        <f>SWE!F10+PH!F20+MTS!F10+MA!F20+'CS'!F20+'CH'!F20+BYS!F20+ATS!F10</f>
        <v>1</v>
      </c>
      <c r="G22" s="48">
        <f>SWE!G10+PH!G20+MTS!G10+MA!G20+'CS'!G20+'CH'!G20+BYS!G20+ATS!G10</f>
        <v>0</v>
      </c>
      <c r="H22" s="44">
        <f>SWE!H10+PH!H20+MTS!H10+MA!H20+'CS'!H20+'CH'!H20+BYS!H20+ATS!H10</f>
        <v>1</v>
      </c>
      <c r="I22" s="48">
        <f>SWE!I10+PH!I20+MTS!I10+MA!I20+'CS'!I20+'CH'!I20+BYS!I20+ATS!I10</f>
        <v>1</v>
      </c>
      <c r="J22" s="44">
        <f>SWE!J10+PH!J20+MTS!J10+MA!J20+'CS'!J20+'CH'!J20+BYS!J20+ATS!J10</f>
        <v>0</v>
      </c>
      <c r="K22" s="48">
        <f>SWE!K10+PH!K20+MTS!K10+MA!K20+'CS'!K20+'CH'!K20+BYS!K20+ATS!K10</f>
        <v>1</v>
      </c>
      <c r="L22" s="44">
        <f>SWE!L10+PH!L20+MTS!L10+MA!L20+'CS'!L20+'CH'!L20+BYS!L20+ATS!L10</f>
        <v>29</v>
      </c>
      <c r="M22" s="48">
        <f>SWE!M10+PH!M20+MTS!M10+MA!M20+'CS'!M20+'CH'!M20+BYS!M20+ATS!M10</f>
        <v>18</v>
      </c>
      <c r="N22" s="44">
        <f>'CS'!N20+'CH'!N20+BYS!N20+MA!N20</f>
        <v>1</v>
      </c>
      <c r="O22" s="45">
        <f>'CS'!O20+'CH'!O20+BYS!O20+MA!O20</f>
        <v>1</v>
      </c>
      <c r="P22" s="44">
        <f>SWE!P10+PH!P20+MTS!N10+MA!P20+'CS'!P20+'CH'!P20+BYS!P20+ATS!N10</f>
        <v>61</v>
      </c>
      <c r="Q22" s="48">
        <f>SWE!Q10+PH!Q20+MTS!O10+MA!Q20+'CS'!Q20+'CH'!Q20+BYS!Q20+ATS!O10</f>
        <v>33</v>
      </c>
      <c r="R22" s="46">
        <f>SUM(P22:Q22)</f>
        <v>94</v>
      </c>
      <c r="S22" s="123"/>
      <c r="T22" s="123"/>
      <c r="U22" s="71"/>
      <c r="V22"/>
      <c r="W22"/>
      <c r="X22"/>
      <c r="Y22"/>
      <c r="Z22"/>
      <c r="AA22"/>
      <c r="AB22"/>
      <c r="AC22"/>
      <c r="AD22"/>
    </row>
    <row r="23" spans="2:30" ht="10.5" customHeight="1">
      <c r="B23" s="11"/>
      <c r="C23" s="12"/>
      <c r="D23" s="11"/>
      <c r="E23" s="12"/>
      <c r="F23" s="11"/>
      <c r="G23" s="12"/>
      <c r="H23" s="11"/>
      <c r="I23" s="12"/>
      <c r="J23" s="11"/>
      <c r="K23" s="12"/>
      <c r="L23" s="11"/>
      <c r="M23" s="12"/>
      <c r="N23" s="11"/>
      <c r="O23" s="12"/>
      <c r="P23" s="11"/>
      <c r="Q23" s="12"/>
      <c r="R23" s="13"/>
      <c r="S23" s="123"/>
      <c r="T23" s="123"/>
      <c r="U23"/>
      <c r="V23"/>
      <c r="W23"/>
      <c r="X23"/>
      <c r="Y23"/>
      <c r="Z23"/>
      <c r="AA23"/>
      <c r="AB23"/>
      <c r="AC23"/>
      <c r="AD23"/>
    </row>
    <row r="24" spans="1:30" ht="10.5" customHeight="1">
      <c r="A24"/>
      <c r="S24" s="123"/>
      <c r="T24" s="123"/>
      <c r="U24"/>
      <c r="V24"/>
      <c r="W24"/>
      <c r="X24"/>
      <c r="Y24"/>
      <c r="Z24"/>
      <c r="AA24"/>
      <c r="AB24"/>
      <c r="AC24"/>
      <c r="AD24"/>
    </row>
    <row r="25" spans="1:30" ht="10.5" customHeight="1">
      <c r="A25"/>
      <c r="B25" s="34" t="s">
        <v>1</v>
      </c>
      <c r="C25" s="35"/>
      <c r="D25" s="34" t="s">
        <v>2</v>
      </c>
      <c r="E25" s="35"/>
      <c r="F25" s="34" t="s">
        <v>3</v>
      </c>
      <c r="G25" s="35"/>
      <c r="H25" s="34" t="s">
        <v>4</v>
      </c>
      <c r="I25" s="35"/>
      <c r="J25" s="34" t="s">
        <v>5</v>
      </c>
      <c r="K25" s="35"/>
      <c r="L25" s="34" t="s">
        <v>6</v>
      </c>
      <c r="M25" s="35"/>
      <c r="N25" s="34" t="s">
        <v>40</v>
      </c>
      <c r="O25" s="35"/>
      <c r="P25" s="34" t="s">
        <v>7</v>
      </c>
      <c r="Q25" s="35"/>
      <c r="R25" s="30" t="s">
        <v>8</v>
      </c>
      <c r="S25" s="123"/>
      <c r="T25" s="123"/>
      <c r="U25"/>
      <c r="V25"/>
      <c r="W25"/>
      <c r="X25"/>
      <c r="Y25"/>
      <c r="Z25"/>
      <c r="AA25"/>
      <c r="AB25"/>
      <c r="AC25"/>
      <c r="AD25"/>
    </row>
    <row r="26" spans="1:30" ht="10.5" customHeight="1">
      <c r="A26" s="7" t="s">
        <v>62</v>
      </c>
      <c r="B26" s="31" t="s">
        <v>9</v>
      </c>
      <c r="C26" s="32" t="s">
        <v>10</v>
      </c>
      <c r="D26" s="31" t="s">
        <v>9</v>
      </c>
      <c r="E26" s="32" t="s">
        <v>10</v>
      </c>
      <c r="F26" s="31" t="s">
        <v>9</v>
      </c>
      <c r="G26" s="32" t="s">
        <v>10</v>
      </c>
      <c r="H26" s="31" t="s">
        <v>9</v>
      </c>
      <c r="I26" s="32" t="s">
        <v>10</v>
      </c>
      <c r="J26" s="31" t="s">
        <v>9</v>
      </c>
      <c r="K26" s="32" t="s">
        <v>10</v>
      </c>
      <c r="L26" s="31" t="s">
        <v>9</v>
      </c>
      <c r="M26" s="32" t="s">
        <v>10</v>
      </c>
      <c r="N26" s="31" t="s">
        <v>9</v>
      </c>
      <c r="O26" s="32" t="s">
        <v>10</v>
      </c>
      <c r="P26" s="31" t="s">
        <v>9</v>
      </c>
      <c r="Q26" s="32" t="s">
        <v>10</v>
      </c>
      <c r="R26" s="33" t="s">
        <v>7</v>
      </c>
      <c r="S26" s="123"/>
      <c r="T26" s="123"/>
      <c r="U26"/>
      <c r="V26"/>
      <c r="W26"/>
      <c r="X26"/>
      <c r="Y26"/>
      <c r="Z26"/>
      <c r="AA26"/>
      <c r="AB26"/>
      <c r="AC26"/>
      <c r="AD26"/>
    </row>
    <row r="27" spans="1:30" ht="10.5" customHeight="1">
      <c r="A27"/>
      <c r="B27" s="4"/>
      <c r="C27" s="5"/>
      <c r="D27" s="4"/>
      <c r="E27" s="2"/>
      <c r="F27" s="4"/>
      <c r="G27" s="5"/>
      <c r="H27" s="4"/>
      <c r="I27" s="5"/>
      <c r="J27" s="4"/>
      <c r="K27" s="5"/>
      <c r="L27" s="4"/>
      <c r="M27" s="5"/>
      <c r="N27" s="4"/>
      <c r="O27" s="5"/>
      <c r="P27" s="4"/>
      <c r="Q27" s="5"/>
      <c r="R27" s="10"/>
      <c r="S27" s="123"/>
      <c r="T27" s="123"/>
      <c r="U27"/>
      <c r="V27"/>
      <c r="W27"/>
      <c r="X27"/>
      <c r="Y27"/>
      <c r="Z27"/>
      <c r="AA27"/>
      <c r="AB27"/>
      <c r="AC27"/>
      <c r="AD27"/>
    </row>
    <row r="28" spans="1:30" ht="10.5" customHeight="1">
      <c r="A28" s="17" t="s">
        <v>43</v>
      </c>
      <c r="B28" s="44">
        <f>PH!B26+MA!B26+MTS!B16+'CS'!B26+BTSE!B6+ATS!B16</f>
        <v>4</v>
      </c>
      <c r="C28" s="48">
        <f>PH!C26+MA!C26+MTS!C16+'CS'!C26+BTSE!C6+ATS!C16</f>
        <v>2</v>
      </c>
      <c r="D28" s="44">
        <f>PH!D26+MA!D26+MTS!D16+'CS'!D26+BTSE!D6+ATS!D16</f>
        <v>0</v>
      </c>
      <c r="E28" s="48">
        <f>PH!E26+MA!E26+MTS!E16+'CS'!E26+BTSE!E6+ATS!E16</f>
        <v>0</v>
      </c>
      <c r="F28" s="44">
        <f>PH!F26+MA!F26+MTS!F16+'CS'!F26+BTSE!F6+ATS!F16</f>
        <v>0</v>
      </c>
      <c r="G28" s="48">
        <f>PH!G26+MA!G26+MTS!G16+'CS'!G26+BTSE!G6+ATS!G16</f>
        <v>0</v>
      </c>
      <c r="H28" s="44">
        <f>PH!H26+MA!H26+MTS!H16+'CS'!H26+BTSE!H6+ATS!H16</f>
        <v>0</v>
      </c>
      <c r="I28" s="48">
        <f>PH!I26+MA!I26+MTS!I16+'CS'!I26+BTSE!I6+ATS!I16</f>
        <v>0</v>
      </c>
      <c r="J28" s="44">
        <f>PH!J26+MA!J26+MTS!J16+'CS'!J26+BTSE!J6+ATS!J16</f>
        <v>0</v>
      </c>
      <c r="K28" s="48">
        <f>PH!K26+MA!K26+MTS!K16+'CS'!K26+BTSE!K6+ATS!K16</f>
        <v>0</v>
      </c>
      <c r="L28" s="44">
        <f>PH!L26+MA!L26+MTS!L16+'CS'!L26+BTSE!L6+ATS!L16</f>
        <v>2</v>
      </c>
      <c r="M28" s="48">
        <f>PH!M26+MA!M26+MTS!M16+'CS'!M26+BTSE!M6+ATS!M16</f>
        <v>2</v>
      </c>
      <c r="N28" s="44">
        <f>'CS'!N26+BTSE!N6</f>
        <v>0</v>
      </c>
      <c r="O28" s="48">
        <f>'CS'!O26+BTSE!O6</f>
        <v>1</v>
      </c>
      <c r="P28" s="44">
        <f>PH!P26+MA!P26+MTS!N16+'CS'!P26+BTSE!P6+ATS!N16</f>
        <v>6</v>
      </c>
      <c r="Q28" s="48">
        <f>PH!Q26+MA!Q26+MTS!O16+'CS'!Q26+BTSE!Q6+ATS!O16</f>
        <v>5</v>
      </c>
      <c r="R28" s="46">
        <f>SUM(P28:Q28)</f>
        <v>11</v>
      </c>
      <c r="S28" s="123"/>
      <c r="T28" s="123"/>
      <c r="U28" s="71"/>
      <c r="V28"/>
      <c r="W28"/>
      <c r="X28"/>
      <c r="Y28"/>
      <c r="Z28"/>
      <c r="AA28"/>
      <c r="AB28"/>
      <c r="AC28"/>
      <c r="AD28"/>
    </row>
    <row r="29" spans="1:30" ht="10.5" customHeight="1">
      <c r="A29" s="52" t="s">
        <v>46</v>
      </c>
      <c r="B29" s="44">
        <f>PH!B27+MA!B27+MTS!B17+'CS'!B27+BTSE!B7+ATS!B17</f>
        <v>1</v>
      </c>
      <c r="C29" s="48">
        <f>PH!C27+MA!C27+MTS!C17+'CS'!C27+BTSE!C7+ATS!C17</f>
        <v>1</v>
      </c>
      <c r="D29" s="44">
        <f>PH!D27+MA!D27+MTS!D17+'CS'!D27+BTSE!D7+ATS!D17</f>
        <v>0</v>
      </c>
      <c r="E29" s="48">
        <f>PH!E27+MA!E27+MTS!E17+'CS'!E27+BTSE!E7+ATS!E17</f>
        <v>0</v>
      </c>
      <c r="F29" s="44">
        <f>PH!F27+MA!F27+MTS!F17+'CS'!F27+BTSE!F7+ATS!F17</f>
        <v>0</v>
      </c>
      <c r="G29" s="48">
        <f>PH!G27+MA!G27+MTS!G17+'CS'!G27+BTSE!G7+ATS!G17</f>
        <v>0</v>
      </c>
      <c r="H29" s="44">
        <f>PH!H27+MA!H27+MTS!H17+'CS'!H27+BTSE!H7+ATS!H17</f>
        <v>0</v>
      </c>
      <c r="I29" s="48">
        <f>PH!I27+MA!I27+MTS!I17+'CS'!I27+BTSE!I7+ATS!I17</f>
        <v>0</v>
      </c>
      <c r="J29" s="44">
        <f>PH!J27+MA!J27+MTS!J17+'CS'!J27+BTSE!J7+ATS!J17</f>
        <v>0</v>
      </c>
      <c r="K29" s="48">
        <f>PH!K27+MA!K27+MTS!K17+'CS'!K27+BTSE!K7+ATS!K17</f>
        <v>0</v>
      </c>
      <c r="L29" s="44">
        <f>PH!L27+MA!L27+MTS!L17+'CS'!L27+BTSE!L7+ATS!L17</f>
        <v>6</v>
      </c>
      <c r="M29" s="48">
        <f>PH!M27+MA!M27+MTS!M17+'CS'!M27+BTSE!M7+ATS!M17</f>
        <v>6</v>
      </c>
      <c r="N29" s="44">
        <f>'CS'!N27+BTSE!N7</f>
        <v>0</v>
      </c>
      <c r="O29" s="48">
        <f>'CS'!O27+BTSE!O7</f>
        <v>0</v>
      </c>
      <c r="P29" s="44">
        <f>PH!P27+MA!P27+MTS!N17+'CS'!P27+BTSE!P7+ATS!N17</f>
        <v>7</v>
      </c>
      <c r="Q29" s="48">
        <f>PH!Q27+MA!Q27+MTS!O17+'CS'!Q27+BTSE!Q7+ATS!O17</f>
        <v>7</v>
      </c>
      <c r="R29" s="46">
        <f>SUM(P29:Q29)</f>
        <v>14</v>
      </c>
      <c r="S29" s="123"/>
      <c r="T29" s="123"/>
      <c r="U29" s="71"/>
      <c r="V29"/>
      <c r="W29"/>
      <c r="X29"/>
      <c r="Y29"/>
      <c r="Z29"/>
      <c r="AA29"/>
      <c r="AB29"/>
      <c r="AC29"/>
      <c r="AD29"/>
    </row>
    <row r="30" spans="1:30" ht="10.5" customHeight="1">
      <c r="A30" s="52" t="s">
        <v>49</v>
      </c>
      <c r="B30" s="44">
        <f>PH!B28+MA!B28+MTS!B18+'CS'!B28+BTSE!B8+ATS!B18</f>
        <v>1</v>
      </c>
      <c r="C30" s="48">
        <f>PH!C28+MA!C28+MTS!C18+'CS'!C28+BTSE!C8+ATS!C18</f>
        <v>0</v>
      </c>
      <c r="D30" s="44">
        <f>PH!D28+MA!D28+MTS!D18+'CS'!D28+BTSE!D8+ATS!D18</f>
        <v>0</v>
      </c>
      <c r="E30" s="48">
        <f>PH!E28+MA!E28+MTS!E18+'CS'!E28+BTSE!E8+ATS!E18</f>
        <v>0</v>
      </c>
      <c r="F30" s="44">
        <f>PH!F28+MA!F28+MTS!F18+'CS'!F28+BTSE!F8+ATS!F18</f>
        <v>1</v>
      </c>
      <c r="G30" s="48">
        <f>PH!G28+MA!G28+MTS!G18+'CS'!G28+BTSE!G8+ATS!G18</f>
        <v>0</v>
      </c>
      <c r="H30" s="44">
        <f>PH!H28+MA!H28+MTS!H18+'CS'!H28+BTSE!H8+ATS!H18</f>
        <v>0</v>
      </c>
      <c r="I30" s="48">
        <f>PH!I28+MA!I28+MTS!I18+'CS'!I28+BTSE!I8+ATS!I18</f>
        <v>0</v>
      </c>
      <c r="J30" s="44">
        <f>PH!J28+MA!J28+MTS!J18+'CS'!J28+BTSE!J8+ATS!J18</f>
        <v>0</v>
      </c>
      <c r="K30" s="48">
        <f>PH!K28+MA!K28+MTS!K18+'CS'!K28+BTSE!K8+ATS!K18</f>
        <v>0</v>
      </c>
      <c r="L30" s="44">
        <f>PH!L28+MA!L28+MTS!L18+'CS'!L28+BTSE!L8+ATS!L18</f>
        <v>3</v>
      </c>
      <c r="M30" s="48">
        <f>PH!M28+MA!M28+MTS!M18+'CS'!M28+BTSE!M8+ATS!M18</f>
        <v>2</v>
      </c>
      <c r="N30" s="44">
        <f>'CS'!N28+BTSE!N8</f>
        <v>0</v>
      </c>
      <c r="O30" s="48">
        <f>'CS'!O28+BTSE!O8</f>
        <v>1</v>
      </c>
      <c r="P30" s="44">
        <f>PH!P28+MA!P28+MTS!N18+'CS'!P28+BTSE!P8+ATS!N18</f>
        <v>5</v>
      </c>
      <c r="Q30" s="48">
        <f>PH!Q28+MA!Q28+MTS!O18+'CS'!Q28+BTSE!Q8+ATS!O18</f>
        <v>3</v>
      </c>
      <c r="R30" s="46">
        <f>SUM(P30:Q30)</f>
        <v>8</v>
      </c>
      <c r="S30" s="123"/>
      <c r="T30" s="123"/>
      <c r="U30" s="71"/>
      <c r="V30"/>
      <c r="W30"/>
      <c r="X30"/>
      <c r="Y30"/>
      <c r="Z30"/>
      <c r="AA30"/>
      <c r="AB30"/>
      <c r="AC30"/>
      <c r="AD30"/>
    </row>
    <row r="31" spans="1:30" ht="10.5" customHeight="1">
      <c r="A31" s="52" t="s">
        <v>58</v>
      </c>
      <c r="B31" s="44">
        <f>PH!B29+MA!B29+MTS!B19+'CS'!B29+BTSE!B9+ATS!B19</f>
        <v>7</v>
      </c>
      <c r="C31" s="48">
        <f>PH!C29+MA!C29+MTS!C19+'CS'!C29+BTSE!C9+ATS!C19</f>
        <v>3</v>
      </c>
      <c r="D31" s="44">
        <f>PH!D29+MA!D29+MTS!D19+'CS'!D29+BTSE!D9+ATS!D19</f>
        <v>0</v>
      </c>
      <c r="E31" s="48">
        <f>PH!E29+MA!E29+MTS!E19+'CS'!E29+BTSE!E9+ATS!E19</f>
        <v>0</v>
      </c>
      <c r="F31" s="44">
        <f>PH!F29+MA!F29+MTS!F19+'CS'!F29+BTSE!F9+ATS!F19</f>
        <v>0</v>
      </c>
      <c r="G31" s="48">
        <f>PH!G29+MA!G29+MTS!G19+'CS'!G29+BTSE!G9+ATS!G19</f>
        <v>0</v>
      </c>
      <c r="H31" s="44">
        <f>PH!H29+MA!H29+MTS!H19+'CS'!H29+BTSE!H9+ATS!H19</f>
        <v>1</v>
      </c>
      <c r="I31" s="48">
        <f>PH!I29+MA!I29+MTS!I19+'CS'!I29+BTSE!I9+ATS!I19</f>
        <v>0</v>
      </c>
      <c r="J31" s="44">
        <f>PH!J29+MA!J29+MTS!J19+'CS'!J29+BTSE!J9+ATS!J19</f>
        <v>0</v>
      </c>
      <c r="K31" s="48">
        <f>PH!K29+MA!K29+MTS!K19+'CS'!K29+BTSE!K9+ATS!K19</f>
        <v>0</v>
      </c>
      <c r="L31" s="44">
        <f>PH!L29+MA!L29+MTS!L19+'CS'!L29+BTSE!L9+ATS!L19</f>
        <v>3</v>
      </c>
      <c r="M31" s="48">
        <f>PH!M29+MA!M29+MTS!M19+'CS'!M29+BTSE!M9+ATS!M19</f>
        <v>1</v>
      </c>
      <c r="N31" s="44">
        <f>'CS'!N29+BTSE!N9</f>
        <v>0</v>
      </c>
      <c r="O31" s="48">
        <f>'CS'!O29+BTSE!O9</f>
        <v>0</v>
      </c>
      <c r="P31" s="44">
        <f>PH!P29+MA!P29+MTS!N19+'CS'!P29+BTSE!P9+ATS!N19</f>
        <v>11</v>
      </c>
      <c r="Q31" s="48">
        <f>PH!Q29+MA!Q29+MTS!O19+'CS'!Q29+BTSE!Q9+ATS!O19</f>
        <v>4</v>
      </c>
      <c r="R31" s="46">
        <f>SUM(P31:Q31)</f>
        <v>15</v>
      </c>
      <c r="S31" s="123"/>
      <c r="T31" s="123"/>
      <c r="U31" s="71"/>
      <c r="V31"/>
      <c r="W31"/>
      <c r="X31"/>
      <c r="Y31"/>
      <c r="Z31"/>
      <c r="AA31"/>
      <c r="AB31"/>
      <c r="AC31"/>
      <c r="AD31"/>
    </row>
    <row r="32" spans="1:30" ht="10.5" customHeight="1">
      <c r="A32" s="52" t="s">
        <v>60</v>
      </c>
      <c r="B32" s="44">
        <f>PH!B30+MA!B30+MTS!B20+'CS'!B30+BTSE!B10+ATS!B20</f>
        <v>6</v>
      </c>
      <c r="C32" s="48">
        <f>PH!C30+MA!C30+MTS!C20+'CS'!C30+BTSE!C10+ATS!C20</f>
        <v>5</v>
      </c>
      <c r="D32" s="44">
        <f>PH!D30+MA!D30+MTS!D20+'CS'!D30+BTSE!D10+ATS!D20</f>
        <v>0</v>
      </c>
      <c r="E32" s="48">
        <f>PH!E30+MA!E30+MTS!E20+'CS'!E30+BTSE!E10+ATS!E20</f>
        <v>0</v>
      </c>
      <c r="F32" s="44">
        <f>PH!F30+MA!F30+MTS!F20+'CS'!F30+BTSE!F10+ATS!F20</f>
        <v>0</v>
      </c>
      <c r="G32" s="48">
        <f>PH!G30+MA!G30+MTS!G20+'CS'!G30+BTSE!G10+ATS!G20</f>
        <v>0</v>
      </c>
      <c r="H32" s="44">
        <f>PH!H30+MA!H30+MTS!H20+'CS'!H30+BTSE!H10+ATS!H20</f>
        <v>0</v>
      </c>
      <c r="I32" s="48">
        <f>PH!I30+MA!I30+MTS!I20+'CS'!I30+BTSE!I10+ATS!I20</f>
        <v>0</v>
      </c>
      <c r="J32" s="44">
        <f>PH!J30+MA!J30+MTS!J20+'CS'!J30+BTSE!J10+ATS!J20</f>
        <v>1</v>
      </c>
      <c r="K32" s="48">
        <f>PH!K30+MA!K30+MTS!K20+'CS'!K30+BTSE!K10+ATS!K20</f>
        <v>0</v>
      </c>
      <c r="L32" s="44">
        <f>PH!L30+MA!L30+MTS!L20+'CS'!L30+BTSE!L10+ATS!L20</f>
        <v>2</v>
      </c>
      <c r="M32" s="48">
        <f>PH!M30+MA!M30+MTS!M20+'CS'!M30+BTSE!M10+ATS!M20</f>
        <v>1</v>
      </c>
      <c r="N32" s="44">
        <f>'CS'!N30+BTSE!N10</f>
        <v>0</v>
      </c>
      <c r="O32" s="48">
        <f>'CS'!O30+BTSE!O10</f>
        <v>1</v>
      </c>
      <c r="P32" s="44">
        <f>PH!P30+MA!P30+MTS!N20+'CS'!P30+BTSE!P10+ATS!N20</f>
        <v>9</v>
      </c>
      <c r="Q32" s="48">
        <f>PH!Q30+MA!Q30+MTS!O20+'CS'!Q30+BTSE!Q10+ATS!O20</f>
        <v>7</v>
      </c>
      <c r="R32" s="46">
        <f>SUM(P32:Q32)</f>
        <v>16</v>
      </c>
      <c r="S32" s="123"/>
      <c r="T32" s="123"/>
      <c r="U32" s="71"/>
      <c r="V32"/>
      <c r="W32"/>
      <c r="X32"/>
      <c r="Y32"/>
      <c r="Z32"/>
      <c r="AA32"/>
      <c r="AB32"/>
      <c r="AC32"/>
      <c r="AD32"/>
    </row>
    <row r="33" spans="2:30" ht="10.5" customHeight="1">
      <c r="B33" s="11"/>
      <c r="C33" s="12"/>
      <c r="D33" s="11"/>
      <c r="E33" s="12"/>
      <c r="F33" s="11"/>
      <c r="G33" s="12"/>
      <c r="H33" s="11"/>
      <c r="I33" s="12"/>
      <c r="J33" s="11"/>
      <c r="K33" s="12"/>
      <c r="L33" s="11"/>
      <c r="M33" s="12"/>
      <c r="N33" s="11"/>
      <c r="O33" s="12"/>
      <c r="P33" s="11"/>
      <c r="Q33" s="12"/>
      <c r="R33" s="13"/>
      <c r="S33" s="123"/>
      <c r="T33" s="123"/>
      <c r="U33" s="71"/>
      <c r="V33"/>
      <c r="W33"/>
      <c r="X33"/>
      <c r="Y33"/>
      <c r="Z33"/>
      <c r="AA33"/>
      <c r="AB33"/>
      <c r="AC33"/>
      <c r="AD33"/>
    </row>
    <row r="34" spans="1:30" ht="10.5" customHeight="1">
      <c r="A34"/>
      <c r="Q34"/>
      <c r="R34"/>
      <c r="S34" s="123"/>
      <c r="T34" s="123"/>
      <c r="U34"/>
      <c r="V34"/>
      <c r="W34"/>
      <c r="X34"/>
      <c r="Y34"/>
      <c r="Z34"/>
      <c r="AA34"/>
      <c r="AB34"/>
      <c r="AC34"/>
      <c r="AD34"/>
    </row>
    <row r="35" spans="1:30" ht="10.5" customHeight="1">
      <c r="A35" s="7" t="s">
        <v>17</v>
      </c>
      <c r="Q35"/>
      <c r="R35"/>
      <c r="S35" s="123"/>
      <c r="T35" s="123"/>
      <c r="U35"/>
      <c r="V35"/>
      <c r="W35"/>
      <c r="X35"/>
      <c r="Y35"/>
      <c r="Z35"/>
      <c r="AA35"/>
      <c r="AB35"/>
      <c r="AC35"/>
      <c r="AD35"/>
    </row>
    <row r="36" spans="1:30" ht="10.5" customHeight="1">
      <c r="A36" s="7" t="s">
        <v>12</v>
      </c>
      <c r="B36" s="34" t="s">
        <v>1</v>
      </c>
      <c r="C36" s="35"/>
      <c r="D36" s="34" t="s">
        <v>2</v>
      </c>
      <c r="E36" s="35"/>
      <c r="F36" s="34" t="s">
        <v>3</v>
      </c>
      <c r="G36" s="35"/>
      <c r="H36" s="34" t="s">
        <v>4</v>
      </c>
      <c r="I36" s="35"/>
      <c r="J36" s="34" t="s">
        <v>5</v>
      </c>
      <c r="K36" s="35"/>
      <c r="L36" s="34" t="s">
        <v>6</v>
      </c>
      <c r="M36" s="35"/>
      <c r="N36" s="127" t="s">
        <v>40</v>
      </c>
      <c r="O36" s="128"/>
      <c r="P36" s="34" t="s">
        <v>7</v>
      </c>
      <c r="Q36" s="35"/>
      <c r="R36" s="30" t="s">
        <v>8</v>
      </c>
      <c r="S36" s="123"/>
      <c r="T36" s="123"/>
      <c r="U36"/>
      <c r="V36"/>
      <c r="W36"/>
      <c r="X36"/>
      <c r="Y36"/>
      <c r="Z36"/>
      <c r="AA36"/>
      <c r="AB36"/>
      <c r="AC36"/>
      <c r="AD36"/>
    </row>
    <row r="37" spans="1:30" ht="10.5" customHeight="1">
      <c r="A37" s="54" t="s">
        <v>13</v>
      </c>
      <c r="B37" s="31" t="s">
        <v>9</v>
      </c>
      <c r="C37" s="32" t="s">
        <v>10</v>
      </c>
      <c r="D37" s="31" t="s">
        <v>9</v>
      </c>
      <c r="E37" s="32" t="s">
        <v>10</v>
      </c>
      <c r="F37" s="31" t="s">
        <v>9</v>
      </c>
      <c r="G37" s="32" t="s">
        <v>10</v>
      </c>
      <c r="H37" s="31" t="s">
        <v>9</v>
      </c>
      <c r="I37" s="32" t="s">
        <v>10</v>
      </c>
      <c r="J37" s="31" t="s">
        <v>9</v>
      </c>
      <c r="K37" s="32" t="s">
        <v>10</v>
      </c>
      <c r="L37" s="31" t="s">
        <v>9</v>
      </c>
      <c r="M37" s="32" t="s">
        <v>10</v>
      </c>
      <c r="N37" s="31" t="s">
        <v>9</v>
      </c>
      <c r="O37" s="32" t="s">
        <v>10</v>
      </c>
      <c r="P37" s="31" t="s">
        <v>9</v>
      </c>
      <c r="Q37" s="32" t="s">
        <v>10</v>
      </c>
      <c r="R37" s="33" t="s">
        <v>7</v>
      </c>
      <c r="S37" s="123"/>
      <c r="T37" s="123"/>
      <c r="U37"/>
      <c r="V37"/>
      <c r="W37"/>
      <c r="X37"/>
      <c r="Y37"/>
      <c r="Z37"/>
      <c r="AA37"/>
      <c r="AB37"/>
      <c r="AC37"/>
      <c r="AD37"/>
    </row>
    <row r="38" spans="1:30" ht="10.5" customHeight="1">
      <c r="A38" s="7"/>
      <c r="B38" s="21"/>
      <c r="C38" s="22"/>
      <c r="D38" s="21"/>
      <c r="E38" s="22"/>
      <c r="F38" s="21"/>
      <c r="G38" s="22"/>
      <c r="H38" s="21"/>
      <c r="I38" s="22"/>
      <c r="J38" s="14"/>
      <c r="K38" s="15"/>
      <c r="L38" s="21"/>
      <c r="M38" s="22"/>
      <c r="N38" s="14"/>
      <c r="O38" s="15"/>
      <c r="P38" s="21"/>
      <c r="Q38" s="22"/>
      <c r="R38" s="6"/>
      <c r="S38" s="123"/>
      <c r="T38" s="123"/>
      <c r="U38"/>
      <c r="V38"/>
      <c r="W38"/>
      <c r="X38"/>
      <c r="Y38"/>
      <c r="Z38"/>
      <c r="AA38"/>
      <c r="AB38"/>
      <c r="AC38"/>
      <c r="AD38"/>
    </row>
    <row r="39" spans="1:30" s="2" customFormat="1" ht="10.5" customHeight="1">
      <c r="A39" s="17" t="s">
        <v>43</v>
      </c>
      <c r="B39" s="44">
        <f>'PEN&amp;UND'!B7+PH!B37+OPT!B17+MA!B37+'CS'!B37+'CH'!B27+BYS!B27</f>
        <v>338</v>
      </c>
      <c r="C39" s="48">
        <f>'PEN&amp;UND'!C7+PH!C37+OPT!C17+MA!C37+'CS'!C37+'CH'!C27+BYS!C27</f>
        <v>269</v>
      </c>
      <c r="D39" s="44">
        <f>'PEN&amp;UND'!D7+PH!D37+OPT!D17+MA!D37+'CS'!D37+'CH'!D27+BYS!D27</f>
        <v>33</v>
      </c>
      <c r="E39" s="48">
        <f>'PEN&amp;UND'!E7+PH!E37+OPT!E17+MA!E37+'CS'!E37+'CH'!E27+BYS!E27</f>
        <v>71</v>
      </c>
      <c r="F39" s="44">
        <f>'PEN&amp;UND'!F7+PH!F37+OPT!F17+MA!F37+'CS'!F37+'CH'!F27+BYS!F27</f>
        <v>7</v>
      </c>
      <c r="G39" s="48">
        <f>'PEN&amp;UND'!G7+PH!G37+OPT!G17+MA!G37+'CS'!G37+'CH'!G27+BYS!G27</f>
        <v>11</v>
      </c>
      <c r="H39" s="44">
        <f>'PEN&amp;UND'!H7+PH!H37+OPT!H17+MA!H37+'CS'!H37+'CH'!H27+BYS!H27</f>
        <v>23</v>
      </c>
      <c r="I39" s="48">
        <f>'PEN&amp;UND'!I7+PH!I37+OPT!I17+MA!I37+'CS'!I37+'CH'!I27+BYS!I27</f>
        <v>14</v>
      </c>
      <c r="J39" s="44">
        <f>'PEN&amp;UND'!J7+PH!J37+OPT!J17+MA!J37+'CS'!J37+'CH'!J27+BYS!J27</f>
        <v>6</v>
      </c>
      <c r="K39" s="48">
        <f>'PEN&amp;UND'!K7+PH!K37+OPT!K17+MA!K37+'CS'!K37+'CH'!K27+BYS!K27</f>
        <v>5</v>
      </c>
      <c r="L39" s="44">
        <f>'PEN&amp;UND'!L7+PH!L37+OPT!L17+MA!L37+'CS'!L37+'CH'!L27+BYS!L27</f>
        <v>21</v>
      </c>
      <c r="M39" s="48">
        <f>'PEN&amp;UND'!M7+PH!M37+OPT!M17+MA!M37+'CS'!M37+'CH'!M27+BYS!M27</f>
        <v>6</v>
      </c>
      <c r="N39" s="44">
        <f>+BYS!N27+'CH'!N27+'CS'!N37+MA!N37+'PEN&amp;UND'!N7</f>
        <v>2</v>
      </c>
      <c r="O39" s="45">
        <f>+BYS!O27+'CH'!O27+'CS'!O37+MA!O37+'PEN&amp;UND'!O7</f>
        <v>3</v>
      </c>
      <c r="P39" s="44">
        <f>BYS!P27+'CH'!P27+'CS'!P37+MA!P37+PH!P37+'PEN&amp;UND'!P7+OPT!N17</f>
        <v>430</v>
      </c>
      <c r="Q39" s="48">
        <f>BYS!Q27+'CH'!Q27+'CS'!Q37+MA!Q37+PH!Q37+'PEN&amp;UND'!Q7+OPT!O17</f>
        <v>379</v>
      </c>
      <c r="R39" s="46">
        <f>BYS!R27+'CH'!R27+'CS'!R37+MA!R37+OPT!P17+PH!R37+'PEN&amp;UND'!R7</f>
        <v>809</v>
      </c>
      <c r="S39" s="123"/>
      <c r="T39" s="123"/>
      <c r="U39"/>
      <c r="V39"/>
      <c r="W39"/>
      <c r="X39"/>
      <c r="Y39"/>
      <c r="Z39"/>
      <c r="AA39"/>
      <c r="AB39"/>
      <c r="AC39"/>
      <c r="AD39"/>
    </row>
    <row r="40" spans="1:30" s="2" customFormat="1" ht="10.5" customHeight="1">
      <c r="A40" s="52" t="s">
        <v>46</v>
      </c>
      <c r="B40" s="44">
        <f>'PEN&amp;UND'!B8+PH!B38+OPT!B18+MA!B38+'CS'!B38+'CH'!B28+BYS!B28</f>
        <v>383</v>
      </c>
      <c r="C40" s="48">
        <f>'PEN&amp;UND'!C8+PH!C38+OPT!C18+MA!C38+'CS'!C38+'CH'!C28+BYS!C28</f>
        <v>301</v>
      </c>
      <c r="D40" s="44">
        <f>'PEN&amp;UND'!D8+PH!D38+OPT!D18+MA!D38+'CS'!D38+'CH'!D28+BYS!D28</f>
        <v>40</v>
      </c>
      <c r="E40" s="48">
        <f>'PEN&amp;UND'!E8+PH!E38+OPT!E18+MA!E38+'CS'!E38+'CH'!E28+BYS!E28</f>
        <v>87</v>
      </c>
      <c r="F40" s="44">
        <f>'PEN&amp;UND'!F8+PH!F38+OPT!F18+MA!F38+'CS'!F38+'CH'!F28+BYS!F28</f>
        <v>8</v>
      </c>
      <c r="G40" s="48">
        <f>'PEN&amp;UND'!G8+PH!G38+OPT!G18+MA!G38+'CS'!G38+'CH'!G28+BYS!G28</f>
        <v>12</v>
      </c>
      <c r="H40" s="44">
        <f>'PEN&amp;UND'!H8+PH!H38+OPT!H18+MA!H38+'CS'!H38+'CH'!H28+BYS!H28</f>
        <v>23</v>
      </c>
      <c r="I40" s="48">
        <f>'PEN&amp;UND'!I8+PH!I38+OPT!I18+MA!I38+'CS'!I38+'CH'!I28+BYS!I28</f>
        <v>12</v>
      </c>
      <c r="J40" s="44">
        <f>'PEN&amp;UND'!J8+PH!J38+OPT!J18+MA!J38+'CS'!J38+'CH'!J28+BYS!J28</f>
        <v>5</v>
      </c>
      <c r="K40" s="48">
        <f>'PEN&amp;UND'!K8+PH!K38+OPT!K18+MA!K38+'CS'!K38+'CH'!K28+BYS!K28</f>
        <v>7</v>
      </c>
      <c r="L40" s="44">
        <f>'PEN&amp;UND'!L8+PH!L38+OPT!L18+MA!L38+'CS'!L38+'CH'!L28+BYS!L28</f>
        <v>25</v>
      </c>
      <c r="M40" s="48">
        <f>'PEN&amp;UND'!M8+PH!M38+OPT!M18+MA!M38+'CS'!M38+'CH'!M28+BYS!M28</f>
        <v>8</v>
      </c>
      <c r="N40" s="44">
        <f>+BYS!N28+'CH'!N28+'CS'!N38+MA!N38+'PEN&amp;UND'!N8</f>
        <v>9</v>
      </c>
      <c r="O40" s="45">
        <f>+BYS!O28+'CH'!O28+'CS'!O38+MA!O38+'PEN&amp;UND'!O8</f>
        <v>6</v>
      </c>
      <c r="P40" s="44">
        <f>BYS!P28+'CH'!P28+'CS'!P38+MA!P38+PH!P38+'PEN&amp;UND'!P8+OPT!N18</f>
        <v>493</v>
      </c>
      <c r="Q40" s="48">
        <f>BYS!Q28+'CH'!Q28+'CS'!Q38+MA!Q38+PH!Q38+'PEN&amp;UND'!Q8+OPT!O18</f>
        <v>433</v>
      </c>
      <c r="R40" s="46">
        <f>BYS!R28+'CH'!R28+'CS'!R38+MA!R38+OPT!P18+PH!R38+'PEN&amp;UND'!R8</f>
        <v>926</v>
      </c>
      <c r="S40" s="123"/>
      <c r="T40" s="123"/>
      <c r="U40" s="71"/>
      <c r="V40"/>
      <c r="W40"/>
      <c r="X40"/>
      <c r="Y40"/>
      <c r="Z40"/>
      <c r="AA40"/>
      <c r="AB40"/>
      <c r="AC40"/>
      <c r="AD40"/>
    </row>
    <row r="41" spans="1:30" s="2" customFormat="1" ht="10.5" customHeight="1">
      <c r="A41" s="52" t="s">
        <v>49</v>
      </c>
      <c r="B41" s="44">
        <f>'PEN&amp;UND'!B9+PH!B39+OPT!B19+MA!B39+'CS'!B39+'CH'!B29+BYS!B29</f>
        <v>372</v>
      </c>
      <c r="C41" s="48">
        <f>'PEN&amp;UND'!C9+PH!C39+OPT!C19+MA!C39+'CS'!C39+'CH'!C29+BYS!C29</f>
        <v>315</v>
      </c>
      <c r="D41" s="44">
        <f>'PEN&amp;UND'!D9+PH!D39+OPT!D19+MA!D39+'CS'!D39+'CH'!D29+BYS!D29</f>
        <v>34</v>
      </c>
      <c r="E41" s="48">
        <f>'PEN&amp;UND'!E9+PH!E39+OPT!E19+MA!E39+'CS'!E39+'CH'!E29+BYS!E29</f>
        <v>88</v>
      </c>
      <c r="F41" s="44">
        <f>'PEN&amp;UND'!F9+PH!F39+OPT!F19+MA!F39+'CS'!F39+'CH'!F29+BYS!F29</f>
        <v>11</v>
      </c>
      <c r="G41" s="48">
        <f>'PEN&amp;UND'!G9+PH!G39+OPT!G19+MA!G39+'CS'!G39+'CH'!G29+BYS!G29</f>
        <v>14</v>
      </c>
      <c r="H41" s="44">
        <f>'PEN&amp;UND'!H9+PH!H39+OPT!H19+MA!H39+'CS'!H39+'CH'!H29+BYS!H29</f>
        <v>15</v>
      </c>
      <c r="I41" s="48">
        <f>'PEN&amp;UND'!I9+PH!I39+OPT!I19+MA!I39+'CS'!I39+'CH'!I29+BYS!I29</f>
        <v>15</v>
      </c>
      <c r="J41" s="44">
        <f>'PEN&amp;UND'!J9+PH!J39+OPT!J19+MA!J39+'CS'!J39+'CH'!J29+BYS!J29</f>
        <v>4</v>
      </c>
      <c r="K41" s="48">
        <f>'PEN&amp;UND'!K9+PH!K39+OPT!K19+MA!K39+'CS'!K39+'CH'!K29+BYS!K29</f>
        <v>11</v>
      </c>
      <c r="L41" s="44">
        <f>'PEN&amp;UND'!L9+PH!L39+OPT!L19+MA!L39+'CS'!L39+'CH'!L29+BYS!L29</f>
        <v>21</v>
      </c>
      <c r="M41" s="48">
        <f>'PEN&amp;UND'!M9+PH!M39+OPT!M19+MA!M39+'CS'!M39+'CH'!M29+BYS!M29</f>
        <v>11</v>
      </c>
      <c r="N41" s="44">
        <f>+BYS!N29+'CH'!N29+'CS'!N39+MA!N39+'PEN&amp;UND'!N9</f>
        <v>12</v>
      </c>
      <c r="O41" s="45">
        <f>+BYS!O29+'CH'!O29+'CS'!O39+MA!O39+'PEN&amp;UND'!O9</f>
        <v>9</v>
      </c>
      <c r="P41" s="44">
        <f>BYS!P29+'CH'!P29+'CS'!P39+MA!P39+PH!P39+'PEN&amp;UND'!P9+OPT!N19</f>
        <v>469</v>
      </c>
      <c r="Q41" s="48">
        <f>BYS!Q29+'CH'!Q29+'CS'!Q39+MA!Q39+PH!Q39+'PEN&amp;UND'!Q9+OPT!O19</f>
        <v>463</v>
      </c>
      <c r="R41" s="46">
        <f>BYS!R29+'CH'!R29+'CS'!R39+MA!R39+OPT!P19+PH!R39+'PEN&amp;UND'!R9</f>
        <v>932</v>
      </c>
      <c r="S41" s="123"/>
      <c r="T41" s="123"/>
      <c r="U41" s="71"/>
      <c r="V41"/>
      <c r="W41"/>
      <c r="X41"/>
      <c r="Y41"/>
      <c r="Z41"/>
      <c r="AA41"/>
      <c r="AB41"/>
      <c r="AC41"/>
      <c r="AD41"/>
    </row>
    <row r="42" spans="1:30" s="2" customFormat="1" ht="10.5" customHeight="1">
      <c r="A42" s="52" t="s">
        <v>58</v>
      </c>
      <c r="B42" s="44">
        <f>'PEN&amp;UND'!B10+PH!B40+OPT!B20+MA!B40+'CS'!B40+'CH'!B30+BYS!B30</f>
        <v>392</v>
      </c>
      <c r="C42" s="48">
        <f>'PEN&amp;UND'!C10+PH!C40+OPT!C20+MA!C40+'CS'!C40+'CH'!C30+BYS!C30</f>
        <v>314</v>
      </c>
      <c r="D42" s="44">
        <f>'PEN&amp;UND'!D10+PH!D40+OPT!D20+MA!D40+'CS'!D40+'CH'!D30+BYS!D30</f>
        <v>35</v>
      </c>
      <c r="E42" s="48">
        <f>'PEN&amp;UND'!E10+PH!E40+OPT!E20+MA!E40+'CS'!E40+'CH'!E30+BYS!E30</f>
        <v>94</v>
      </c>
      <c r="F42" s="44">
        <f>'PEN&amp;UND'!F10+PH!F40+OPT!F20+MA!F40+'CS'!F40+'CH'!F30+BYS!F30</f>
        <v>10</v>
      </c>
      <c r="G42" s="48">
        <f>'PEN&amp;UND'!G10+PH!G40+OPT!G20+MA!G40+'CS'!G40+'CH'!G30+BYS!G30</f>
        <v>15</v>
      </c>
      <c r="H42" s="44">
        <f>'PEN&amp;UND'!H10+PH!H40+OPT!H20+MA!H40+'CS'!H40+'CH'!H30+BYS!H30</f>
        <v>10</v>
      </c>
      <c r="I42" s="48">
        <f>'PEN&amp;UND'!I10+PH!I40+OPT!I20+MA!I40+'CS'!I40+'CH'!I30+BYS!I30</f>
        <v>14</v>
      </c>
      <c r="J42" s="44">
        <f>'PEN&amp;UND'!J10+PH!J40+OPT!J20+MA!J40+'CS'!J40+'CH'!J30+BYS!J30</f>
        <v>5</v>
      </c>
      <c r="K42" s="48">
        <f>'PEN&amp;UND'!K10+PH!K40+OPT!K20+MA!K40+'CS'!K40+'CH'!K30+BYS!K30</f>
        <v>9</v>
      </c>
      <c r="L42" s="44">
        <f>'PEN&amp;UND'!L10+PH!L40+OPT!L20+MA!L40+'CS'!L40+'CH'!L30+BYS!L30</f>
        <v>19</v>
      </c>
      <c r="M42" s="48">
        <f>'PEN&amp;UND'!M10+PH!M40+OPT!M20+MA!M40+'CS'!M40+'CH'!M30+BYS!M30</f>
        <v>10</v>
      </c>
      <c r="N42" s="44">
        <f>+BYS!N30+'CH'!N30+'CS'!N40+MA!N40+'PEN&amp;UND'!N10</f>
        <v>12</v>
      </c>
      <c r="O42" s="45">
        <f>+BYS!O30+'CH'!O30+'CS'!O40+MA!O40+'PEN&amp;UND'!O10</f>
        <v>10</v>
      </c>
      <c r="P42" s="44">
        <f>BYS!P30+'CH'!P30+'CS'!P40+MA!P40+PH!P40+'PEN&amp;UND'!P10+OPT!N20</f>
        <v>483</v>
      </c>
      <c r="Q42" s="48">
        <f>BYS!Q30+'CH'!Q30+'CS'!Q40+MA!Q40+PH!Q40+'PEN&amp;UND'!Q10+OPT!O20</f>
        <v>467</v>
      </c>
      <c r="R42" s="46">
        <f>BYS!R30+'CH'!R30+'CS'!R40+MA!R40+OPT!P20+PH!R40+'PEN&amp;UND'!R10</f>
        <v>950</v>
      </c>
      <c r="S42" s="123"/>
      <c r="T42" s="123"/>
      <c r="U42" s="71"/>
      <c r="V42"/>
      <c r="W42"/>
      <c r="X42"/>
      <c r="Y42"/>
      <c r="Z42"/>
      <c r="AA42"/>
      <c r="AB42"/>
      <c r="AC42"/>
      <c r="AD42"/>
    </row>
    <row r="43" spans="1:30" s="2" customFormat="1" ht="10.5" customHeight="1">
      <c r="A43" s="52" t="s">
        <v>60</v>
      </c>
      <c r="B43" s="44">
        <f>'PEN&amp;UND'!B11+PH!B41+OPT!B21+MA!B41+'CS'!B41+'CH'!B31+BYS!B31</f>
        <v>393</v>
      </c>
      <c r="C43" s="48">
        <f>'PEN&amp;UND'!C11+PH!C41+OPT!C21+MA!C41+'CS'!C41+'CH'!C31+BYS!C31</f>
        <v>308</v>
      </c>
      <c r="D43" s="44">
        <f>'PEN&amp;UND'!D11+PH!D41+OPT!D21+MA!D41+'CS'!D41+'CH'!D31+BYS!D31</f>
        <v>43</v>
      </c>
      <c r="E43" s="48">
        <f>'PEN&amp;UND'!E11+PH!E41+OPT!E21+MA!E41+'CS'!E41+'CH'!E31+BYS!E31</f>
        <v>92</v>
      </c>
      <c r="F43" s="44">
        <f>'PEN&amp;UND'!F11+PH!F41+OPT!F21+MA!F41+'CS'!F41+'CH'!F31+BYS!F31</f>
        <v>10</v>
      </c>
      <c r="G43" s="48">
        <f>'PEN&amp;UND'!G11+PH!G41+OPT!G21+MA!G41+'CS'!G41+'CH'!G31+BYS!G31</f>
        <v>20</v>
      </c>
      <c r="H43" s="44">
        <f>'PEN&amp;UND'!H11+PH!H41+OPT!H21+MA!H41+'CS'!H41+'CH'!H31+BYS!H31</f>
        <v>15</v>
      </c>
      <c r="I43" s="48">
        <f>'PEN&amp;UND'!I11+PH!I41+OPT!I21+MA!I41+'CS'!I41+'CH'!I31+BYS!I31</f>
        <v>14</v>
      </c>
      <c r="J43" s="44">
        <f>'PEN&amp;UND'!J11+PH!J41+OPT!J21+MA!J41+'CS'!J41+'CH'!J31+BYS!J31</f>
        <v>10</v>
      </c>
      <c r="K43" s="48">
        <f>'PEN&amp;UND'!K11+PH!K41+OPT!K21+MA!K41+'CS'!K41+'CH'!K31+BYS!K31</f>
        <v>9</v>
      </c>
      <c r="L43" s="44">
        <f>'PEN&amp;UND'!L11+PH!L41+OPT!L21+MA!L41+'CS'!L41+'CH'!L31+BYS!L31</f>
        <v>22</v>
      </c>
      <c r="M43" s="48">
        <f>'PEN&amp;UND'!M11+PH!M41+OPT!M21+MA!M41+'CS'!M41+'CH'!M31+BYS!M31</f>
        <v>13</v>
      </c>
      <c r="N43" s="44">
        <f>+BYS!N31+'CH'!N31+'CS'!N41+MA!N41+'PEN&amp;UND'!N11+PH!N41</f>
        <v>14</v>
      </c>
      <c r="O43" s="45">
        <f>+BYS!O31+'CH'!O31+'CS'!O41+MA!O41+'PEN&amp;UND'!O11+PH!O41</f>
        <v>8</v>
      </c>
      <c r="P43" s="44">
        <f>BYS!P31+'CH'!P31+'CS'!P41+MA!P41+PH!P41+'PEN&amp;UND'!P11+OPT!N21</f>
        <v>507</v>
      </c>
      <c r="Q43" s="48">
        <f>BYS!Q31+'CH'!Q31+'CS'!Q41+MA!Q41+PH!Q41+'PEN&amp;UND'!Q11+OPT!O21</f>
        <v>464</v>
      </c>
      <c r="R43" s="46">
        <f>BYS!R31+'CH'!R31+'CS'!R41+MA!R41+OPT!P21+PH!R41+'PEN&amp;UND'!R11</f>
        <v>971</v>
      </c>
      <c r="S43" s="123"/>
      <c r="T43" s="123"/>
      <c r="U43" s="71"/>
      <c r="V43"/>
      <c r="W43"/>
      <c r="X43"/>
      <c r="Y43"/>
      <c r="Z43"/>
      <c r="AA43"/>
      <c r="AB43"/>
      <c r="AC43"/>
      <c r="AD43"/>
    </row>
    <row r="44" spans="1:30" ht="10.5" customHeight="1">
      <c r="A44" s="7"/>
      <c r="B44" s="11"/>
      <c r="C44" s="20"/>
      <c r="D44" s="11"/>
      <c r="E44" s="20"/>
      <c r="F44" s="11"/>
      <c r="G44" s="20"/>
      <c r="H44" s="11"/>
      <c r="I44" s="20"/>
      <c r="J44" s="11"/>
      <c r="K44" s="20"/>
      <c r="L44" s="11"/>
      <c r="M44" s="20"/>
      <c r="N44" s="11"/>
      <c r="O44" s="64"/>
      <c r="P44" s="11"/>
      <c r="Q44" s="20"/>
      <c r="R44" s="13"/>
      <c r="S44" s="123"/>
      <c r="T44" s="123"/>
      <c r="U44"/>
      <c r="V44"/>
      <c r="W44"/>
      <c r="X44"/>
      <c r="Y44"/>
      <c r="Z44"/>
      <c r="AA44"/>
      <c r="AB44"/>
      <c r="AC44"/>
      <c r="AD44"/>
    </row>
    <row r="45" spans="17:30" ht="10.5" customHeight="1">
      <c r="Q45"/>
      <c r="R45"/>
      <c r="S45" s="123"/>
      <c r="T45" s="123"/>
      <c r="U45"/>
      <c r="V45"/>
      <c r="W45"/>
      <c r="X45"/>
      <c r="Y45"/>
      <c r="Z45"/>
      <c r="AA45"/>
      <c r="AB45"/>
      <c r="AC45"/>
      <c r="AD45"/>
    </row>
    <row r="46" spans="1:30" ht="10.5" customHeight="1">
      <c r="A46" s="7" t="s">
        <v>11</v>
      </c>
      <c r="Q46"/>
      <c r="R46"/>
      <c r="S46" s="123"/>
      <c r="T46" s="123"/>
      <c r="U46"/>
      <c r="V46"/>
      <c r="W46"/>
      <c r="X46"/>
      <c r="Y46"/>
      <c r="Z46"/>
      <c r="AA46"/>
      <c r="AB46"/>
      <c r="AC46"/>
      <c r="AD46"/>
    </row>
    <row r="47" spans="1:30" ht="10.5" customHeight="1">
      <c r="A47" s="7" t="s">
        <v>12</v>
      </c>
      <c r="B47" s="34" t="s">
        <v>1</v>
      </c>
      <c r="C47" s="35"/>
      <c r="D47" s="34" t="s">
        <v>2</v>
      </c>
      <c r="E47" s="35"/>
      <c r="F47" s="34" t="s">
        <v>3</v>
      </c>
      <c r="G47" s="35"/>
      <c r="H47" s="34" t="s">
        <v>4</v>
      </c>
      <c r="I47" s="35"/>
      <c r="J47" s="34" t="s">
        <v>5</v>
      </c>
      <c r="K47" s="35"/>
      <c r="L47" s="34" t="s">
        <v>6</v>
      </c>
      <c r="M47" s="35"/>
      <c r="N47" s="127" t="s">
        <v>40</v>
      </c>
      <c r="O47" s="128"/>
      <c r="P47" s="34" t="s">
        <v>7</v>
      </c>
      <c r="Q47" s="35"/>
      <c r="R47" s="30" t="s">
        <v>8</v>
      </c>
      <c r="S47" s="123"/>
      <c r="T47" s="123"/>
      <c r="U47"/>
      <c r="V47"/>
      <c r="W47"/>
      <c r="X47"/>
      <c r="Y47"/>
      <c r="Z47"/>
      <c r="AA47"/>
      <c r="AB47"/>
      <c r="AC47"/>
      <c r="AD47"/>
    </row>
    <row r="48" spans="1:30" ht="10.5" customHeight="1">
      <c r="A48" s="7" t="s">
        <v>13</v>
      </c>
      <c r="B48" s="31" t="s">
        <v>9</v>
      </c>
      <c r="C48" s="32" t="s">
        <v>10</v>
      </c>
      <c r="D48" s="31" t="s">
        <v>9</v>
      </c>
      <c r="E48" s="32" t="s">
        <v>10</v>
      </c>
      <c r="F48" s="31" t="s">
        <v>9</v>
      </c>
      <c r="G48" s="32" t="s">
        <v>10</v>
      </c>
      <c r="H48" s="31" t="s">
        <v>9</v>
      </c>
      <c r="I48" s="32" t="s">
        <v>10</v>
      </c>
      <c r="J48" s="31" t="s">
        <v>9</v>
      </c>
      <c r="K48" s="32" t="s">
        <v>10</v>
      </c>
      <c r="L48" s="31" t="s">
        <v>9</v>
      </c>
      <c r="M48" s="32" t="s">
        <v>10</v>
      </c>
      <c r="N48" s="31" t="s">
        <v>9</v>
      </c>
      <c r="O48" s="32" t="s">
        <v>10</v>
      </c>
      <c r="P48" s="31" t="s">
        <v>9</v>
      </c>
      <c r="Q48" s="32" t="s">
        <v>10</v>
      </c>
      <c r="R48" s="33" t="s">
        <v>7</v>
      </c>
      <c r="S48" s="123"/>
      <c r="T48" s="123"/>
      <c r="U48"/>
      <c r="V48"/>
      <c r="W48"/>
      <c r="X48"/>
      <c r="Y48"/>
      <c r="Z48"/>
      <c r="AA48"/>
      <c r="AB48"/>
      <c r="AC48"/>
      <c r="AD48"/>
    </row>
    <row r="49" spans="1:30" ht="10.5" customHeight="1">
      <c r="A49" s="7"/>
      <c r="B49" s="21"/>
      <c r="C49" s="22"/>
      <c r="D49" s="21"/>
      <c r="E49" s="22"/>
      <c r="F49" s="21"/>
      <c r="G49" s="22"/>
      <c r="H49" s="21"/>
      <c r="I49" s="22"/>
      <c r="J49" s="21"/>
      <c r="K49" s="22"/>
      <c r="L49" s="21"/>
      <c r="M49" s="22"/>
      <c r="N49" s="14"/>
      <c r="O49" s="15"/>
      <c r="P49" s="14"/>
      <c r="Q49" s="15"/>
      <c r="R49" s="6"/>
      <c r="S49" s="123"/>
      <c r="T49" s="123"/>
      <c r="U49"/>
      <c r="V49"/>
      <c r="W49"/>
      <c r="X49"/>
      <c r="Y49"/>
      <c r="Z49"/>
      <c r="AA49"/>
      <c r="AB49"/>
      <c r="AC49"/>
      <c r="AD49"/>
    </row>
    <row r="50" spans="1:30" s="2" customFormat="1" ht="10.5" customHeight="1">
      <c r="A50" s="17" t="s">
        <v>43</v>
      </c>
      <c r="B50" s="44">
        <f>SWE!B17+PH!B48+MA!B48+MTS!B27+CSE2!B27+'CS'!B48+'CH'!B38+BYS!B38+ATS!B27</f>
        <v>94</v>
      </c>
      <c r="C50" s="48">
        <f>SWE!C17+PH!C48+MA!C48+MTS!C27+CSE2!C27+'CS'!C48+'CH'!C38+BYS!C38+ATS!C27</f>
        <v>59</v>
      </c>
      <c r="D50" s="44">
        <f>SWE!D17+PH!D48+MA!D48+MTS!D27+CSE2!D27+'CS'!D48+'CH'!D38+BYS!D38+ATS!D27</f>
        <v>8</v>
      </c>
      <c r="E50" s="48">
        <f>SWE!E17+PH!E48+MA!E48+MTS!E27+CSE2!E27+'CS'!E48+'CH'!E38+BYS!E38+ATS!E27</f>
        <v>14</v>
      </c>
      <c r="F50" s="44">
        <f>SWE!F17+PH!F48+MA!F48+MTS!F27+CSE2!F27+'CS'!F48+'CH'!F38+BYS!F38+ATS!F27</f>
        <v>3</v>
      </c>
      <c r="G50" s="48">
        <f>SWE!G17+PH!G48+MA!G48+MTS!G27+CSE2!G27+'CS'!G48+'CH'!G38+BYS!G38+ATS!G27</f>
        <v>1</v>
      </c>
      <c r="H50" s="44">
        <f>SWE!H17+PH!H48+MA!H48+MTS!H27+CSE2!H27+'CS'!H48+'CH'!H38+BYS!H38+ATS!H27</f>
        <v>3</v>
      </c>
      <c r="I50" s="48">
        <f>SWE!I17+PH!I48+MA!I48+MTS!I27+CSE2!I27+'CS'!I48+'CH'!I38+BYS!I38+ATS!I27</f>
        <v>5</v>
      </c>
      <c r="J50" s="44">
        <f>SWE!J17+PH!J48+MA!J48+MTS!J27+CSE2!J27+'CS'!J48+'CH'!J38+BYS!J38+ATS!J27</f>
        <v>1</v>
      </c>
      <c r="K50" s="48">
        <f>SWE!K17+PH!K48+MA!K48+MTS!K27+CSE2!K27+'CS'!K48+'CH'!K38+BYS!K38+ATS!K27</f>
        <v>1</v>
      </c>
      <c r="L50" s="44">
        <f>SWE!L17+PH!L48+MA!L48+MTS!L27+CSE2!L27+'CS'!L48+'CH'!L38+BYS!L38+ATS!L27</f>
        <v>83</v>
      </c>
      <c r="M50" s="48">
        <f>SWE!M17+PH!M48+MA!M48+MTS!M27+CSE2!M27+'CS'!M48+'CH'!M38+BYS!M38+ATS!M27</f>
        <v>44</v>
      </c>
      <c r="N50" s="44">
        <f>SWE!N17+BYS!N38+BTSE!N17+'CH'!N38+'CS'!N48+MA!N48+MOD!N17</f>
        <v>2</v>
      </c>
      <c r="O50" s="45">
        <f>SWE!O17+BYS!O38+BTSE!O17+'CH'!O38+'CS'!O48+MA!O48+MOD!O17</f>
        <v>2</v>
      </c>
      <c r="P50" s="44">
        <f aca="true" t="shared" si="0" ref="P50:Q53">SUM(N50,L50,J50,H50,F50,D50,B50)</f>
        <v>194</v>
      </c>
      <c r="Q50" s="48">
        <f t="shared" si="0"/>
        <v>126</v>
      </c>
      <c r="R50" s="46">
        <f>SUM(Q50,P50)</f>
        <v>320</v>
      </c>
      <c r="S50" s="123"/>
      <c r="T50" s="123"/>
      <c r="U50"/>
      <c r="V50"/>
      <c r="W50"/>
      <c r="X50"/>
      <c r="Y50"/>
      <c r="Z50"/>
      <c r="AA50"/>
      <c r="AB50"/>
      <c r="AC50"/>
      <c r="AD50"/>
    </row>
    <row r="51" spans="1:30" s="2" customFormat="1" ht="10.5" customHeight="1">
      <c r="A51" s="52" t="s">
        <v>46</v>
      </c>
      <c r="B51" s="44">
        <f>SWE!B18+PH!B49+MA!B49+MTS!B28+CSE2!B28+'CS'!B49+'CH'!B39+BYS!B39+BTSE!B18+ATS!B28</f>
        <v>99</v>
      </c>
      <c r="C51" s="48">
        <f>SWE!C18+PH!C49+MA!C49+MTS!C28+CSE2!C28+'CS'!C49+'CH'!C39+BYS!C39+BTSE!C18+ATS!C28</f>
        <v>59</v>
      </c>
      <c r="D51" s="44">
        <f>SWE!D18+PH!D49+MA!D49+MTS!D28+CSE2!D28+'CS'!D49+'CH'!D39+BYS!D39+BTSE!D18+ATS!D28</f>
        <v>8</v>
      </c>
      <c r="E51" s="48">
        <f>SWE!E18+PH!E49+MA!E49+MTS!E28+CSE2!E28+'CS'!E49+'CH'!E39+BYS!E39+BTSE!E18+ATS!E28</f>
        <v>7</v>
      </c>
      <c r="F51" s="44">
        <f>SWE!F18+PH!F49+MA!F49+MTS!F28+CSE2!F28+'CS'!F49+'CH'!F39+BYS!F39+BTSE!F18+ATS!F28</f>
        <v>2</v>
      </c>
      <c r="G51" s="48">
        <f>SWE!G18+PH!G49+MA!G49+MTS!G28+CSE2!G28+'CS'!G49+'CH'!G39+BYS!G39+BTSE!G18+ATS!G28</f>
        <v>0</v>
      </c>
      <c r="H51" s="44">
        <f>SWE!H18+PH!H49+MA!H49+MTS!H28+CSE2!H28+'CS'!H49+'CH'!H39+BYS!H39+BTSE!H18+ATS!H28</f>
        <v>4</v>
      </c>
      <c r="I51" s="48">
        <f>SWE!I18+PH!I49+MA!I49+MTS!I28+CSE2!I28+'CS'!I49+'CH'!I39+BYS!I39+BTSE!I18+ATS!I28</f>
        <v>7</v>
      </c>
      <c r="J51" s="44">
        <f>SWE!J18+PH!J49+MA!J49+MTS!J28+CSE2!J28+'CS'!J49+'CH'!J39+BYS!J39+BTSE!J18+ATS!J28</f>
        <v>1</v>
      </c>
      <c r="K51" s="48">
        <f>SWE!K18+PH!K49+MA!K49+MTS!K28+CSE2!K28+'CS'!K49+'CH'!K39+BYS!K39+BTSE!K18+ATS!K28</f>
        <v>2</v>
      </c>
      <c r="L51" s="44">
        <f>SWE!L18+PH!L49+MA!L49+MTS!L28+CSE2!L28+'CS'!L49+'CH'!L39+BYS!L39+BTSE!L18+ATS!L28</f>
        <v>70</v>
      </c>
      <c r="M51" s="48">
        <f>SWE!M18+PH!M49+MA!M49+MTS!M28+CSE2!M28+'CS'!M49+'CH'!M39+BYS!M39+BTSE!M18+ATS!M28</f>
        <v>41</v>
      </c>
      <c r="N51" s="44">
        <f>SWE!N18+BYS!N39+BTSE!N18+'CH'!N39+'CS'!N49+MA!N49+MOD!N18</f>
        <v>2</v>
      </c>
      <c r="O51" s="45">
        <f>SWE!O18+BYS!O39+BTSE!O18+'CH'!O39+'CS'!O49+MA!O49+MOD!O18</f>
        <v>3</v>
      </c>
      <c r="P51" s="44">
        <f t="shared" si="0"/>
        <v>186</v>
      </c>
      <c r="Q51" s="48">
        <f t="shared" si="0"/>
        <v>119</v>
      </c>
      <c r="R51" s="46">
        <f>SUM(Q51,P51)</f>
        <v>305</v>
      </c>
      <c r="S51" s="123"/>
      <c r="T51" s="123"/>
      <c r="U51"/>
      <c r="V51"/>
      <c r="W51"/>
      <c r="X51"/>
      <c r="Y51"/>
      <c r="Z51"/>
      <c r="AA51"/>
      <c r="AB51"/>
      <c r="AC51"/>
      <c r="AD51"/>
    </row>
    <row r="52" spans="1:30" s="2" customFormat="1" ht="10.5" customHeight="1">
      <c r="A52" s="52" t="s">
        <v>49</v>
      </c>
      <c r="B52" s="44">
        <f>SWE!B19+PH!B50+MA!B50+MTS!B29+CSE2!B29+'CS'!B50+'CH'!B40+BYS!B40+BTSE!B19+ATS!B29</f>
        <v>122</v>
      </c>
      <c r="C52" s="48">
        <f>SWE!C19+PH!C50+MA!C50+MTS!C29+CSE2!C29+'CS'!C50+'CH'!C40+BYS!C40+BTSE!C19+ATS!C29</f>
        <v>67</v>
      </c>
      <c r="D52" s="44">
        <f>SWE!D19+PH!D50+MA!D50+MTS!D29+CSE2!D29+'CS'!D50+'CH'!D40+BYS!D40+BTSE!D19+ATS!D29</f>
        <v>4</v>
      </c>
      <c r="E52" s="48">
        <f>SWE!E19+PH!E50+MA!E50+MTS!E29+CSE2!E29+'CS'!E50+'CH'!E40+BYS!E40+BTSE!E19+ATS!E29</f>
        <v>6</v>
      </c>
      <c r="F52" s="44">
        <f>SWE!F19+PH!F50+MA!F50+MTS!F29+CSE2!F29+'CS'!F50+'CH'!F40+BYS!F40+BTSE!F19+ATS!F29</f>
        <v>2</v>
      </c>
      <c r="G52" s="48">
        <f>SWE!G19+PH!G50+MA!G50+MTS!G29+CSE2!G29+'CS'!G50+'CH'!G40+BYS!G40+BTSE!G19+ATS!G29</f>
        <v>0</v>
      </c>
      <c r="H52" s="44">
        <f>SWE!H19+PH!H50+MA!H50+MTS!H29+CSE2!H29+'CS'!H50+'CH'!H40+BYS!H40+BTSE!H19+ATS!H29</f>
        <v>5</v>
      </c>
      <c r="I52" s="48">
        <f>SWE!I19+PH!I50+MA!I50+MTS!I29+CSE2!I29+'CS'!I50+'CH'!I40+BYS!I40+BTSE!I19+ATS!I29</f>
        <v>3</v>
      </c>
      <c r="J52" s="44">
        <f>SWE!J19+PH!J50+MA!J50+MTS!J29+CSE2!J29+'CS'!J50+'CH'!J40+BYS!J40+BTSE!J19+ATS!J29</f>
        <v>1</v>
      </c>
      <c r="K52" s="48">
        <f>SWE!K19+PH!K50+MA!K50+MTS!K29+CSE2!K29+'CS'!K50+'CH'!K40+BYS!K40+BTSE!K19+ATS!K29</f>
        <v>0</v>
      </c>
      <c r="L52" s="44">
        <f>SWE!L19+PH!L50+MA!L50+MTS!L29+CSE2!L29+'CS'!L50+'CH'!L40+BYS!L40+BTSE!L19+ATS!L29</f>
        <v>59</v>
      </c>
      <c r="M52" s="48">
        <f>SWE!M19+PH!M50+MA!M50+MTS!M29+CSE2!M29+'CS'!M50+'CH'!M40+BYS!M40+BTSE!M19+ATS!M29</f>
        <v>40</v>
      </c>
      <c r="N52" s="44">
        <f>SWE!N19+BYS!N40+BTSE!N19+'CH'!N40+'CS'!N50+MA!N50+MOD!N19</f>
        <v>1</v>
      </c>
      <c r="O52" s="45">
        <f>SWE!O19+BYS!O40+BTSE!O19+'CH'!O40+'CS'!O50+MA!O50+MOD!O19</f>
        <v>4</v>
      </c>
      <c r="P52" s="44">
        <f t="shared" si="0"/>
        <v>194</v>
      </c>
      <c r="Q52" s="48">
        <f t="shared" si="0"/>
        <v>120</v>
      </c>
      <c r="R52" s="46">
        <f>SUM(Q52,P52)</f>
        <v>314</v>
      </c>
      <c r="S52" s="123"/>
      <c r="T52" s="123"/>
      <c r="U52"/>
      <c r="V52"/>
      <c r="W52"/>
      <c r="X52"/>
      <c r="Y52"/>
      <c r="Z52"/>
      <c r="AA52"/>
      <c r="AB52"/>
      <c r="AC52"/>
      <c r="AD52"/>
    </row>
    <row r="53" spans="1:30" s="2" customFormat="1" ht="10.5" customHeight="1">
      <c r="A53" s="52" t="s">
        <v>58</v>
      </c>
      <c r="B53" s="44">
        <f>SWE!B20+PH!B51+MA!B51+MTS!B30+CSE2!B30+'CS'!B51+'CH'!B41+BYS!B41+BTSE!B20+ATS!B30+MOD!B20</f>
        <v>123</v>
      </c>
      <c r="C53" s="45">
        <f>SWE!C20+PH!C51+MA!C51+MTS!C30+CSE2!C30+'CS'!C51+'CH'!C41+BYS!C41+BTSE!C20+ATS!C30+MOD!C20</f>
        <v>59</v>
      </c>
      <c r="D53" s="44">
        <f>SWE!D20+PH!D51+MA!D51+MTS!D30+CSE2!D30+'CS'!D51+'CH'!D41+BYS!D41+BTSE!D20+ATS!D30+MOD!D20</f>
        <v>6</v>
      </c>
      <c r="E53" s="45">
        <f>SWE!E20+PH!E51+MA!E51+MTS!E30+CSE2!E30+'CS'!E51+'CH'!E41+BYS!E41+BTSE!E20+ATS!E30+MOD!E20</f>
        <v>7</v>
      </c>
      <c r="F53" s="44">
        <f>SWE!F20+PH!F51+MA!F51+MTS!F30+CSE2!F30+'CS'!F51+'CH'!F41+BYS!F41+BTSE!F20+ATS!F30+MOD!F20</f>
        <v>1</v>
      </c>
      <c r="G53" s="45">
        <f>SWE!G20+PH!G51+MA!G51+MTS!G30+CSE2!G30+'CS'!G51+'CH'!G41+BYS!G41+BTSE!G20+ATS!G30+MOD!G20</f>
        <v>2</v>
      </c>
      <c r="H53" s="44">
        <f>SWE!H20+PH!H51+MA!H51+MTS!H30+CSE2!H30+'CS'!H51+'CH'!H41+BYS!H41+BTSE!H20+ATS!H30+MOD!H20</f>
        <v>7</v>
      </c>
      <c r="I53" s="45">
        <f>SWE!I20+PH!I51+MA!I51+MTS!I30+CSE2!I30+'CS'!I51+'CH'!I41+BYS!I41+BTSE!I20+ATS!I30+MOD!I20</f>
        <v>4</v>
      </c>
      <c r="J53" s="44">
        <f>SWE!J20+PH!J51+MA!J51+MTS!J30+CSE2!J30+'CS'!J51+'CH'!J41+BYS!J41+BTSE!J20+ATS!J30+MOD!J20</f>
        <v>1</v>
      </c>
      <c r="K53" s="45">
        <f>SWE!K20+PH!K51+MA!K51+MTS!K30+CSE2!K30+'CS'!K51+'CH'!K41+BYS!K41+BTSE!K20+ATS!K30+MOD!K20</f>
        <v>0</v>
      </c>
      <c r="L53" s="44">
        <f>SWE!L20+PH!L51+MA!L51+MTS!L30+CSE2!L30+'CS'!L51+'CH'!L41+BYS!L41+BTSE!L20+ATS!L30+MOD!L20</f>
        <v>75</v>
      </c>
      <c r="M53" s="45">
        <f>SWE!M20+PH!M51+MA!M51+MTS!M30+CSE2!M30+'CS'!M51+'CH'!M41+BYS!M41+BTSE!M20+ATS!M30+MOD!M20</f>
        <v>58</v>
      </c>
      <c r="N53" s="44">
        <f>SWE!N20+BYS!N41+BTSE!N20+'CH'!N41+'CS'!N51+MA!N51+MOD!N20</f>
        <v>2</v>
      </c>
      <c r="O53" s="45">
        <f>SWE!O20+BYS!O41+BTSE!O20+'CH'!O41+'CS'!O51+MA!O51+MOD!O20</f>
        <v>2</v>
      </c>
      <c r="P53" s="44">
        <f t="shared" si="0"/>
        <v>215</v>
      </c>
      <c r="Q53" s="48">
        <f t="shared" si="0"/>
        <v>132</v>
      </c>
      <c r="R53" s="46">
        <f>SUM(Q53,P53)</f>
        <v>347</v>
      </c>
      <c r="S53" s="123"/>
      <c r="T53" s="123"/>
      <c r="U53"/>
      <c r="V53"/>
      <c r="W53"/>
      <c r="X53"/>
      <c r="Y53"/>
      <c r="Z53"/>
      <c r="AA53"/>
      <c r="AB53"/>
      <c r="AC53"/>
      <c r="AD53"/>
    </row>
    <row r="54" spans="1:30" s="2" customFormat="1" ht="10.5" customHeight="1">
      <c r="A54" s="52" t="s">
        <v>60</v>
      </c>
      <c r="B54" s="44">
        <f>SWE!B21+PH!B52+MA!B52+MTS!B31+CSE2!B31+'CS'!B52+'CH'!B42+BYS!B42+BTSE!B21+ATS!B31+MOD!B21</f>
        <v>112</v>
      </c>
      <c r="C54" s="45">
        <f>SWE!C21+PH!C52+MA!C52+MTS!C31+CSE2!C31+'CS'!C52+'CH'!C42+BYS!C42+BTSE!C21+ATS!C31+MOD!C21</f>
        <v>57</v>
      </c>
      <c r="D54" s="44">
        <f>SWE!D21+PH!D52+MA!D52+MTS!D31+CSE2!D31+'CS'!D52+'CH'!D42+BYS!D42+BTSE!D21+ATS!D31+MOD!D21</f>
        <v>7</v>
      </c>
      <c r="E54" s="45">
        <f>SWE!E21+PH!E52+MA!E52+MTS!E31+CSE2!E31+'CS'!E52+'CH'!E42+BYS!E42+BTSE!E21+ATS!E31+MOD!E21</f>
        <v>13</v>
      </c>
      <c r="F54" s="44">
        <f>SWE!F21+PH!F52+MA!F52+MTS!F31+CSE2!F31+'CS'!F52+'CH'!F42+BYS!F42+BTSE!F21+ATS!F31+MOD!F21</f>
        <v>0</v>
      </c>
      <c r="G54" s="45">
        <f>SWE!G21+PH!G52+MA!G52+MTS!G31+CSE2!G31+'CS'!G52+'CH'!G42+BYS!G42+BTSE!G21+ATS!G31+MOD!G21</f>
        <v>1</v>
      </c>
      <c r="H54" s="44">
        <f>SWE!H21+PH!H52+MA!H52+MTS!H31+CSE2!H31+'CS'!H52+'CH'!H42+BYS!H42+BTSE!H21+ATS!H31+MOD!H21</f>
        <v>7</v>
      </c>
      <c r="I54" s="45">
        <f>SWE!I21+PH!I52+MA!I52+MTS!I31+CSE2!I31+'CS'!I52+'CH'!I42+BYS!I42+BTSE!I21+ATS!I31+MOD!I21</f>
        <v>2</v>
      </c>
      <c r="J54" s="44">
        <f>SWE!J21+PH!J52+MA!J52+MTS!J31+CSE2!J31+'CS'!J52+'CH'!J42+BYS!J42+BTSE!J21+ATS!J31+MOD!J21</f>
        <v>1</v>
      </c>
      <c r="K54" s="45">
        <f>SWE!K21+PH!K52+MA!K52+MTS!K31+CSE2!K31+'CS'!K52+'CH'!K42+BYS!K42+BTSE!K21+ATS!K31+MOD!K21</f>
        <v>3</v>
      </c>
      <c r="L54" s="44">
        <f>SWE!L21+PH!L52+MA!L52+MTS!L31+CSE2!L31+'CS'!L52+'CH'!L42+BYS!L42+BTSE!L21+ATS!L31+MOD!L21</f>
        <v>52</v>
      </c>
      <c r="M54" s="45">
        <f>SWE!M21+PH!M52+MA!M52+MTS!M31+CSE2!M31+'CS'!M52+'CH'!M42+BYS!M42+BTSE!M21+ATS!M31+MOD!M21</f>
        <v>56</v>
      </c>
      <c r="N54" s="44">
        <f>SWE!N21+BYS!N42+BTSE!N21+'CH'!N42+'CS'!N52+MA!N52+MOD!N21</f>
        <v>1</v>
      </c>
      <c r="O54" s="45">
        <f>SWE!O21+BYS!O42+BTSE!O21+'CH'!O42+'CS'!O52+MA!O52+MOD!O21</f>
        <v>3</v>
      </c>
      <c r="P54" s="44">
        <f>SUM(N54,L54,J54,H54,F54,D54,B54)</f>
        <v>180</v>
      </c>
      <c r="Q54" s="48">
        <f>SUM(O54,M54,K54,I54,G54,E54,C54)</f>
        <v>135</v>
      </c>
      <c r="R54" s="46">
        <f>SUM(Q54,P54)</f>
        <v>315</v>
      </c>
      <c r="S54" s="123"/>
      <c r="T54" s="123"/>
      <c r="U54"/>
      <c r="V54"/>
      <c r="W54"/>
      <c r="X54"/>
      <c r="Y54"/>
      <c r="Z54"/>
      <c r="AA54"/>
      <c r="AB54"/>
      <c r="AC54"/>
      <c r="AD54"/>
    </row>
    <row r="55" spans="2:30" ht="10.5" customHeight="1">
      <c r="B55" s="11"/>
      <c r="C55" s="20"/>
      <c r="D55" s="11"/>
      <c r="E55" s="20"/>
      <c r="F55" s="11"/>
      <c r="G55" s="20"/>
      <c r="H55" s="11"/>
      <c r="I55" s="20"/>
      <c r="J55" s="11"/>
      <c r="K55" s="20"/>
      <c r="L55" s="11"/>
      <c r="M55" s="20"/>
      <c r="N55" s="11"/>
      <c r="O55" s="64"/>
      <c r="P55" s="11"/>
      <c r="Q55" s="20"/>
      <c r="R55" s="13"/>
      <c r="S55" s="124"/>
      <c r="T55" s="124"/>
      <c r="U55"/>
      <c r="V55"/>
      <c r="W55"/>
      <c r="X55"/>
      <c r="Y55"/>
      <c r="Z55"/>
      <c r="AA55"/>
      <c r="AB55"/>
      <c r="AC55"/>
      <c r="AD55"/>
    </row>
    <row r="56" spans="1:30" ht="10.5" customHeight="1">
      <c r="A56" s="57"/>
      <c r="Q56"/>
      <c r="R56"/>
      <c r="S56"/>
      <c r="T56"/>
      <c r="U56"/>
      <c r="V56"/>
      <c r="W56"/>
      <c r="X56"/>
      <c r="Y56"/>
      <c r="Z56"/>
      <c r="AA56"/>
      <c r="AB56"/>
      <c r="AC56"/>
      <c r="AD56"/>
    </row>
    <row r="57" spans="1:30" ht="10.5" customHeight="1">
      <c r="A57" s="27"/>
      <c r="Q57"/>
      <c r="R57"/>
      <c r="S57"/>
      <c r="T57"/>
      <c r="U57"/>
      <c r="V57"/>
      <c r="W57"/>
      <c r="X57"/>
      <c r="Y57"/>
      <c r="Z57"/>
      <c r="AA57"/>
      <c r="AB57"/>
      <c r="AC57"/>
      <c r="AD57"/>
    </row>
    <row r="58" spans="1:30" ht="10.5" customHeight="1">
      <c r="A58" s="38"/>
      <c r="Q58" s="71"/>
      <c r="R58"/>
      <c r="S58"/>
      <c r="T58"/>
      <c r="U58"/>
      <c r="V58"/>
      <c r="W58"/>
      <c r="X58"/>
      <c r="Y58"/>
      <c r="Z58"/>
      <c r="AA58"/>
      <c r="AB58"/>
      <c r="AC58"/>
      <c r="AD58"/>
    </row>
    <row r="59" spans="1:30" ht="10.5" customHeight="1">
      <c r="A59" s="38"/>
      <c r="Q59"/>
      <c r="R59"/>
      <c r="S59"/>
      <c r="T59"/>
      <c r="U59"/>
      <c r="V59"/>
      <c r="W59"/>
      <c r="X59"/>
      <c r="Y59"/>
      <c r="Z59"/>
      <c r="AA59"/>
      <c r="AB59"/>
      <c r="AC59"/>
      <c r="AD59"/>
    </row>
    <row r="60" spans="17:30" ht="10.5" customHeight="1">
      <c r="Q60"/>
      <c r="R60"/>
      <c r="S60"/>
      <c r="T60"/>
      <c r="U60"/>
      <c r="V60"/>
      <c r="W60"/>
      <c r="X60"/>
      <c r="Y60"/>
      <c r="Z60"/>
      <c r="AA60"/>
      <c r="AB60"/>
      <c r="AC60"/>
      <c r="AD60"/>
    </row>
    <row r="61" spans="17:30" ht="10.5" customHeight="1">
      <c r="Q61"/>
      <c r="R61"/>
      <c r="S61"/>
      <c r="T61"/>
      <c r="U61"/>
      <c r="V61"/>
      <c r="W61"/>
      <c r="X61"/>
      <c r="Y61"/>
      <c r="Z61"/>
      <c r="AA61"/>
      <c r="AB61"/>
      <c r="AC61"/>
      <c r="AD61"/>
    </row>
    <row r="62" spans="17:30" ht="10.5" customHeight="1">
      <c r="Q62"/>
      <c r="R62"/>
      <c r="S62"/>
      <c r="T62"/>
      <c r="U62"/>
      <c r="V62"/>
      <c r="W62"/>
      <c r="X62"/>
      <c r="Y62"/>
      <c r="Z62"/>
      <c r="AA62"/>
      <c r="AB62"/>
      <c r="AC62"/>
      <c r="AD62"/>
    </row>
    <row r="63" spans="17:30" ht="10.5" customHeight="1">
      <c r="Q63"/>
      <c r="R63"/>
      <c r="S63"/>
      <c r="T63"/>
      <c r="U63"/>
      <c r="V63"/>
      <c r="W63"/>
      <c r="X63"/>
      <c r="Y63"/>
      <c r="Z63"/>
      <c r="AA63"/>
      <c r="AB63"/>
      <c r="AC63"/>
      <c r="AD63"/>
    </row>
    <row r="64" spans="17:30" ht="10.5" customHeight="1">
      <c r="Q64"/>
      <c r="R64"/>
      <c r="S64"/>
      <c r="T64"/>
      <c r="U64"/>
      <c r="V64"/>
      <c r="W64"/>
      <c r="X64"/>
      <c r="Y64"/>
      <c r="Z64"/>
      <c r="AA64"/>
      <c r="AB64"/>
      <c r="AC64"/>
      <c r="AD64"/>
    </row>
    <row r="65" spans="17:30" ht="10.5" customHeight="1">
      <c r="Q65"/>
      <c r="R65"/>
      <c r="S65"/>
      <c r="T65"/>
      <c r="U65"/>
      <c r="V65"/>
      <c r="W65"/>
      <c r="X65"/>
      <c r="Y65"/>
      <c r="Z65"/>
      <c r="AA65"/>
      <c r="AB65"/>
      <c r="AC65"/>
      <c r="AD65"/>
    </row>
    <row r="66" spans="17:30" ht="10.5" customHeight="1">
      <c r="Q66"/>
      <c r="R66"/>
      <c r="S66"/>
      <c r="T66"/>
      <c r="U66"/>
      <c r="V66"/>
      <c r="W66"/>
      <c r="X66"/>
      <c r="Y66"/>
      <c r="Z66"/>
      <c r="AA66"/>
      <c r="AB66"/>
      <c r="AC66"/>
      <c r="AD66"/>
    </row>
    <row r="67" spans="17:30" ht="10.5" customHeight="1">
      <c r="Q67"/>
      <c r="R67"/>
      <c r="S67"/>
      <c r="T67"/>
      <c r="U67"/>
      <c r="V67"/>
      <c r="W67"/>
      <c r="X67"/>
      <c r="Y67"/>
      <c r="Z67"/>
      <c r="AA67"/>
      <c r="AB67"/>
      <c r="AC67"/>
      <c r="AD67"/>
    </row>
    <row r="68" spans="17:30" ht="10.5" customHeight="1">
      <c r="Q68"/>
      <c r="R68"/>
      <c r="S68"/>
      <c r="T68"/>
      <c r="U68"/>
      <c r="V68"/>
      <c r="W68"/>
      <c r="X68"/>
      <c r="Y68"/>
      <c r="Z68"/>
      <c r="AA68"/>
      <c r="AB68"/>
      <c r="AC68"/>
      <c r="AD68"/>
    </row>
    <row r="69" spans="17:30" ht="10.5" customHeight="1">
      <c r="Q69"/>
      <c r="R69"/>
      <c r="S69"/>
      <c r="T69"/>
      <c r="U69"/>
      <c r="V69"/>
      <c r="W69"/>
      <c r="X69"/>
      <c r="Y69"/>
      <c r="Z69"/>
      <c r="AA69"/>
      <c r="AB69"/>
      <c r="AC69"/>
      <c r="AD69"/>
    </row>
    <row r="70" spans="17:30" ht="10.5" customHeight="1">
      <c r="Q70"/>
      <c r="R70"/>
      <c r="S70"/>
      <c r="T70"/>
      <c r="U70"/>
      <c r="V70"/>
      <c r="W70"/>
      <c r="X70"/>
      <c r="Y70"/>
      <c r="Z70"/>
      <c r="AA70"/>
      <c r="AB70"/>
      <c r="AC70"/>
      <c r="AD70"/>
    </row>
    <row r="71" spans="17:30" ht="10.5" customHeight="1">
      <c r="Q71"/>
      <c r="R71"/>
      <c r="S71"/>
      <c r="T71"/>
      <c r="U71"/>
      <c r="V71"/>
      <c r="W71"/>
      <c r="X71"/>
      <c r="Y71"/>
      <c r="Z71"/>
      <c r="AA71"/>
      <c r="AB71"/>
      <c r="AC71"/>
      <c r="AD71"/>
    </row>
    <row r="72" spans="17:30" ht="10.5" customHeight="1">
      <c r="Q72"/>
      <c r="R72"/>
      <c r="S72"/>
      <c r="T72"/>
      <c r="U72"/>
      <c r="V72"/>
      <c r="W72"/>
      <c r="X72"/>
      <c r="Y72"/>
      <c r="Z72"/>
      <c r="AA72"/>
      <c r="AB72"/>
      <c r="AC72"/>
      <c r="AD72"/>
    </row>
    <row r="73" spans="17:30" ht="10.5" customHeight="1">
      <c r="Q73"/>
      <c r="R73"/>
      <c r="S73"/>
      <c r="T73"/>
      <c r="U73"/>
      <c r="V73"/>
      <c r="W73"/>
      <c r="X73"/>
      <c r="Y73"/>
      <c r="Z73"/>
      <c r="AA73"/>
      <c r="AB73"/>
      <c r="AC73"/>
      <c r="AD73"/>
    </row>
    <row r="74" spans="17:30" ht="10.5" customHeight="1">
      <c r="Q74"/>
      <c r="R74"/>
      <c r="S74"/>
      <c r="T74"/>
      <c r="U74"/>
      <c r="V74"/>
      <c r="W74"/>
      <c r="X74"/>
      <c r="Y74"/>
      <c r="Z74"/>
      <c r="AA74"/>
      <c r="AB74"/>
      <c r="AC74"/>
      <c r="AD74"/>
    </row>
    <row r="75" spans="17:30" ht="10.5" customHeight="1">
      <c r="Q75"/>
      <c r="R75"/>
      <c r="S75"/>
      <c r="T75"/>
      <c r="U75"/>
      <c r="V75"/>
      <c r="W75"/>
      <c r="X75"/>
      <c r="Y75"/>
      <c r="Z75"/>
      <c r="AA75"/>
      <c r="AB75"/>
      <c r="AC75"/>
      <c r="AD75"/>
    </row>
    <row r="76" spans="17:30" ht="10.5" customHeight="1">
      <c r="Q76"/>
      <c r="R76"/>
      <c r="S76"/>
      <c r="T76"/>
      <c r="U76"/>
      <c r="V76"/>
      <c r="W76"/>
      <c r="X76"/>
      <c r="Y76"/>
      <c r="Z76"/>
      <c r="AA76"/>
      <c r="AB76"/>
      <c r="AC76"/>
      <c r="AD76"/>
    </row>
    <row r="77" spans="17:30" ht="10.5" customHeight="1">
      <c r="Q77"/>
      <c r="R77"/>
      <c r="S77"/>
      <c r="T77"/>
      <c r="U77"/>
      <c r="V77"/>
      <c r="W77"/>
      <c r="X77"/>
      <c r="Y77"/>
      <c r="Z77"/>
      <c r="AA77"/>
      <c r="AB77"/>
      <c r="AC77"/>
      <c r="AD77"/>
    </row>
    <row r="78" spans="17:30" ht="10.5" customHeight="1">
      <c r="Q78"/>
      <c r="R78"/>
      <c r="S78"/>
      <c r="T78"/>
      <c r="U78"/>
      <c r="V78"/>
      <c r="W78"/>
      <c r="X78"/>
      <c r="Y78"/>
      <c r="Z78"/>
      <c r="AA78"/>
      <c r="AB78"/>
      <c r="AC78"/>
      <c r="AD78"/>
    </row>
    <row r="79" spans="17:30" ht="10.5" customHeight="1">
      <c r="Q79"/>
      <c r="R79"/>
      <c r="S79"/>
      <c r="T79"/>
      <c r="U79"/>
      <c r="V79"/>
      <c r="W79"/>
      <c r="X79"/>
      <c r="Y79"/>
      <c r="Z79"/>
      <c r="AA79"/>
      <c r="AB79"/>
      <c r="AC79"/>
      <c r="AD79"/>
    </row>
    <row r="80" spans="17:30" ht="10.5" customHeight="1">
      <c r="Q80"/>
      <c r="R80"/>
      <c r="S80"/>
      <c r="T80"/>
      <c r="U80"/>
      <c r="V80"/>
      <c r="W80"/>
      <c r="X80"/>
      <c r="Y80"/>
      <c r="Z80"/>
      <c r="AA80"/>
      <c r="AB80"/>
      <c r="AC80"/>
      <c r="AD80"/>
    </row>
    <row r="81" spans="17:30" ht="10.5" customHeight="1">
      <c r="Q81"/>
      <c r="R81"/>
      <c r="S81"/>
      <c r="T81"/>
      <c r="U81"/>
      <c r="V81"/>
      <c r="W81"/>
      <c r="X81"/>
      <c r="Y81"/>
      <c r="Z81"/>
      <c r="AA81"/>
      <c r="AB81"/>
      <c r="AC81"/>
      <c r="AD81"/>
    </row>
    <row r="82" spans="17:30" ht="10.5" customHeight="1">
      <c r="Q82"/>
      <c r="R82"/>
      <c r="S82"/>
      <c r="T82"/>
      <c r="U82"/>
      <c r="V82"/>
      <c r="W82"/>
      <c r="X82"/>
      <c r="Y82"/>
      <c r="Z82"/>
      <c r="AA82"/>
      <c r="AB82"/>
      <c r="AC82"/>
      <c r="AD82"/>
    </row>
    <row r="83" spans="17:30" ht="10.5" customHeight="1">
      <c r="Q83"/>
      <c r="R83"/>
      <c r="S83"/>
      <c r="T83"/>
      <c r="U83"/>
      <c r="V83"/>
      <c r="W83"/>
      <c r="X83"/>
      <c r="Y83"/>
      <c r="Z83"/>
      <c r="AA83"/>
      <c r="AB83"/>
      <c r="AC83"/>
      <c r="AD83"/>
    </row>
    <row r="84" spans="17:30" ht="10.5" customHeight="1">
      <c r="Q84"/>
      <c r="R84"/>
      <c r="S84"/>
      <c r="T84"/>
      <c r="U84"/>
      <c r="V84"/>
      <c r="W84"/>
      <c r="X84"/>
      <c r="Y84"/>
      <c r="Z84"/>
      <c r="AA84"/>
      <c r="AB84"/>
      <c r="AC84"/>
      <c r="AD84"/>
    </row>
    <row r="85" spans="17:30" ht="10.5" customHeight="1">
      <c r="Q85"/>
      <c r="R85"/>
      <c r="S85"/>
      <c r="T85"/>
      <c r="U85"/>
      <c r="V85"/>
      <c r="W85"/>
      <c r="X85"/>
      <c r="Y85"/>
      <c r="Z85"/>
      <c r="AA85"/>
      <c r="AB85"/>
      <c r="AC85"/>
      <c r="AD85"/>
    </row>
    <row r="86" spans="17:30" ht="10.5" customHeight="1">
      <c r="Q86"/>
      <c r="R86"/>
      <c r="S86"/>
      <c r="T86"/>
      <c r="U86"/>
      <c r="V86"/>
      <c r="W86"/>
      <c r="X86"/>
      <c r="Y86"/>
      <c r="Z86"/>
      <c r="AA86"/>
      <c r="AB86"/>
      <c r="AC86"/>
      <c r="AD86"/>
    </row>
    <row r="87" spans="17:30" ht="10.5" customHeight="1">
      <c r="Q87"/>
      <c r="R87"/>
      <c r="S87"/>
      <c r="T87"/>
      <c r="U87"/>
      <c r="V87"/>
      <c r="W87"/>
      <c r="X87"/>
      <c r="Y87"/>
      <c r="Z87"/>
      <c r="AA87"/>
      <c r="AB87"/>
      <c r="AC87"/>
      <c r="AD87"/>
    </row>
    <row r="88" spans="17:30" ht="10.5" customHeight="1">
      <c r="Q88"/>
      <c r="R88"/>
      <c r="S88"/>
      <c r="T88"/>
      <c r="U88"/>
      <c r="V88"/>
      <c r="W88"/>
      <c r="X88"/>
      <c r="Y88"/>
      <c r="Z88"/>
      <c r="AA88"/>
      <c r="AB88"/>
      <c r="AC88"/>
      <c r="AD88"/>
    </row>
    <row r="89" spans="17:30" ht="10.5" customHeight="1">
      <c r="Q89"/>
      <c r="R89"/>
      <c r="S89"/>
      <c r="T89"/>
      <c r="U89"/>
      <c r="V89"/>
      <c r="W89"/>
      <c r="X89"/>
      <c r="Y89"/>
      <c r="Z89"/>
      <c r="AA89"/>
      <c r="AB89"/>
      <c r="AC89"/>
      <c r="AD89"/>
    </row>
    <row r="90" spans="17:30" ht="10.5" customHeight="1">
      <c r="Q90"/>
      <c r="R90"/>
      <c r="S90"/>
      <c r="T90"/>
      <c r="U90"/>
      <c r="V90"/>
      <c r="W90"/>
      <c r="X90"/>
      <c r="Y90"/>
      <c r="Z90"/>
      <c r="AA90"/>
      <c r="AB90"/>
      <c r="AC90"/>
      <c r="AD90"/>
    </row>
    <row r="91" spans="17:30" ht="10.5" customHeight="1">
      <c r="Q91"/>
      <c r="R91"/>
      <c r="S91"/>
      <c r="T91"/>
      <c r="U91"/>
      <c r="V91"/>
      <c r="W91"/>
      <c r="X91"/>
      <c r="Y91"/>
      <c r="Z91"/>
      <c r="AA91"/>
      <c r="AB91"/>
      <c r="AC91"/>
      <c r="AD91"/>
    </row>
    <row r="92" spans="17:30" ht="10.5" customHeight="1">
      <c r="Q92"/>
      <c r="R92"/>
      <c r="S92"/>
      <c r="T92"/>
      <c r="U92"/>
      <c r="V92"/>
      <c r="W92"/>
      <c r="X92"/>
      <c r="Y92"/>
      <c r="Z92"/>
      <c r="AA92"/>
      <c r="AB92"/>
      <c r="AC92"/>
      <c r="AD92"/>
    </row>
    <row r="93" spans="17:30" ht="10.5" customHeight="1">
      <c r="Q93"/>
      <c r="R93"/>
      <c r="S93"/>
      <c r="T93"/>
      <c r="U93"/>
      <c r="V93"/>
      <c r="W93"/>
      <c r="X93"/>
      <c r="Y93"/>
      <c r="Z93"/>
      <c r="AA93"/>
      <c r="AB93"/>
      <c r="AC93"/>
      <c r="AD93"/>
    </row>
    <row r="94" spans="17:30" ht="10.5" customHeight="1">
      <c r="Q94"/>
      <c r="R94"/>
      <c r="S94"/>
      <c r="T94"/>
      <c r="U94"/>
      <c r="V94"/>
      <c r="W94"/>
      <c r="X94"/>
      <c r="Y94"/>
      <c r="Z94"/>
      <c r="AA94"/>
      <c r="AB94"/>
      <c r="AC94"/>
      <c r="AD94"/>
    </row>
    <row r="95" spans="17:30" ht="10.5" customHeight="1">
      <c r="Q95"/>
      <c r="R95"/>
      <c r="S95"/>
      <c r="T95"/>
      <c r="U95"/>
      <c r="V95"/>
      <c r="W95"/>
      <c r="X95"/>
      <c r="Y95"/>
      <c r="Z95"/>
      <c r="AA95"/>
      <c r="AB95"/>
      <c r="AC95"/>
      <c r="AD95"/>
    </row>
    <row r="96" spans="17:30" ht="10.5" customHeight="1">
      <c r="Q96"/>
      <c r="R96"/>
      <c r="S96"/>
      <c r="T96"/>
      <c r="U96"/>
      <c r="V96"/>
      <c r="W96"/>
      <c r="X96"/>
      <c r="Y96"/>
      <c r="Z96"/>
      <c r="AA96"/>
      <c r="AB96"/>
      <c r="AC96"/>
      <c r="AD96"/>
    </row>
    <row r="97" spans="17:30" ht="10.5" customHeight="1">
      <c r="Q97"/>
      <c r="R97"/>
      <c r="S97"/>
      <c r="T97"/>
      <c r="U97"/>
      <c r="V97"/>
      <c r="W97"/>
      <c r="X97"/>
      <c r="Y97"/>
      <c r="Z97"/>
      <c r="AA97"/>
      <c r="AB97"/>
      <c r="AC97"/>
      <c r="AD97"/>
    </row>
    <row r="98" spans="17:30" ht="10.5" customHeight="1">
      <c r="Q98"/>
      <c r="R98"/>
      <c r="S98"/>
      <c r="T98"/>
      <c r="U98"/>
      <c r="V98"/>
      <c r="W98"/>
      <c r="X98"/>
      <c r="Y98"/>
      <c r="Z98"/>
      <c r="AA98"/>
      <c r="AB98"/>
      <c r="AC98"/>
      <c r="AD98"/>
    </row>
    <row r="99" spans="17:30" ht="10.5" customHeight="1">
      <c r="Q99"/>
      <c r="R99"/>
      <c r="S99"/>
      <c r="T99"/>
      <c r="U99"/>
      <c r="V99"/>
      <c r="W99"/>
      <c r="X99"/>
      <c r="Y99"/>
      <c r="Z99"/>
      <c r="AA99"/>
      <c r="AB99"/>
      <c r="AC99"/>
      <c r="AD99"/>
    </row>
    <row r="100" spans="17:30" ht="10.5" customHeight="1"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</row>
    <row r="101" spans="17:30" ht="10.5" customHeight="1"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</row>
    <row r="102" spans="17:30" ht="10.5" customHeight="1"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</row>
    <row r="103" spans="17:30" ht="10.5" customHeight="1"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</row>
    <row r="104" spans="17:30" ht="10.5" customHeight="1"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</row>
    <row r="105" spans="17:30" ht="10.5" customHeight="1"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</row>
    <row r="106" spans="17:30" ht="10.5" customHeight="1"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</row>
    <row r="107" spans="17:30" ht="10.5" customHeight="1"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</row>
    <row r="108" spans="17:30" ht="10.5" customHeight="1"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</row>
    <row r="109" spans="17:30" ht="10.5" customHeight="1"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</row>
    <row r="110" spans="17:30" ht="10.5" customHeight="1"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</row>
    <row r="111" spans="17:30" ht="10.5" customHeight="1"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</row>
    <row r="112" spans="17:30" ht="10.5" customHeight="1"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</row>
    <row r="113" spans="17:30" ht="10.5" customHeight="1"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</row>
    <row r="114" spans="17:30" ht="10.5" customHeight="1"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</row>
    <row r="115" spans="17:30" ht="10.5" customHeight="1"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</row>
    <row r="116" spans="17:30" ht="10.5" customHeight="1"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</row>
    <row r="117" spans="17:30" ht="10.5" customHeight="1"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</row>
    <row r="118" spans="17:30" ht="10.5" customHeight="1"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</row>
    <row r="119" spans="17:30" ht="10.5" customHeight="1"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</row>
    <row r="120" spans="17:30" ht="10.5" customHeight="1"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</row>
    <row r="121" spans="17:30" ht="10.5" customHeight="1"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</row>
    <row r="122" spans="17:30" ht="10.5" customHeight="1"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</row>
    <row r="123" spans="17:30" ht="10.5" customHeight="1"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</row>
    <row r="124" spans="17:30" ht="10.5" customHeight="1"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</row>
    <row r="125" spans="17:30" ht="10.5" customHeight="1"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</row>
    <row r="126" spans="17:30" ht="10.5" customHeight="1"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</row>
    <row r="127" spans="17:30" ht="10.5" customHeight="1"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</row>
    <row r="128" spans="17:30" ht="10.5" customHeight="1"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</row>
    <row r="129" spans="17:30" ht="10.5" customHeight="1"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</row>
    <row r="130" spans="17:30" ht="10.5" customHeight="1"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</row>
    <row r="131" spans="17:30" ht="10.5" customHeight="1"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</row>
    <row r="132" spans="17:30" ht="10.5" customHeight="1"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</row>
    <row r="133" spans="17:30" ht="10.5" customHeight="1"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</row>
    <row r="134" spans="17:30" ht="10.5" customHeight="1"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</row>
    <row r="135" spans="17:30" ht="10.5" customHeight="1"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</row>
    <row r="136" spans="17:30" ht="10.5" customHeight="1"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</row>
    <row r="137" spans="17:30" ht="10.5" customHeight="1"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</row>
    <row r="138" spans="17:30" ht="10.5" customHeight="1"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</row>
    <row r="139" spans="17:30" ht="10.5" customHeight="1"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</row>
    <row r="140" spans="17:30" ht="10.5" customHeight="1"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</row>
    <row r="141" spans="17:30" ht="10.5" customHeight="1"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</row>
    <row r="142" spans="17:30" ht="10.5" customHeight="1"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</row>
    <row r="143" spans="17:30" ht="10.5" customHeight="1"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</row>
    <row r="144" spans="17:30" ht="10.5" customHeight="1"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</row>
    <row r="145" spans="17:30" ht="10.5" customHeight="1"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</row>
    <row r="146" spans="17:30" ht="10.5" customHeight="1"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</row>
    <row r="147" spans="17:30" ht="10.5" customHeight="1"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</row>
    <row r="148" spans="17:30" ht="10.5" customHeight="1"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</row>
    <row r="149" spans="17:30" ht="10.5" customHeight="1"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</row>
    <row r="150" spans="17:30" ht="10.5" customHeight="1"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</row>
    <row r="151" spans="17:30" ht="10.5" customHeight="1"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</row>
    <row r="152" spans="17:30" ht="10.5" customHeight="1"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</row>
    <row r="153" spans="17:30" ht="10.5" customHeight="1"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</row>
    <row r="154" spans="17:30" ht="10.5" customHeight="1"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</row>
    <row r="155" spans="17:30" ht="10.5" customHeight="1"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</row>
    <row r="156" spans="17:30" ht="10.5" customHeight="1"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</row>
  </sheetData>
  <mergeCells count="2">
    <mergeCell ref="N36:O36"/>
    <mergeCell ref="N47:O47"/>
  </mergeCells>
  <printOptions/>
  <pageMargins left="1" right="0.25" top="1" bottom="0.75" header="0.5" footer="0.25"/>
  <pageSetup fitToHeight="1" fitToWidth="1" horizontalDpi="300" verticalDpi="300" orientation="landscape" scale="82" r:id="rId3"/>
  <headerFooter alignWithMargins="0">
    <oddHeader>&amp;CThe University of Alabama in Huntsville
Unit Academic Reports 
</oddHeader>
    <oddFooter>&amp;L&amp;8Office of Institutional Research
&amp;D (np)
&amp;F</oddFoot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21"/>
  <sheetViews>
    <sheetView workbookViewId="0" topLeftCell="A1">
      <selection activeCell="A2" sqref="A2"/>
    </sheetView>
  </sheetViews>
  <sheetFormatPr defaultColWidth="9.140625" defaultRowHeight="12.75" customHeight="1"/>
  <cols>
    <col min="1" max="1" width="18.7109375" style="27" customWidth="1"/>
    <col min="2" max="18" width="7.28125" style="3" customWidth="1"/>
    <col min="19" max="16384" width="9.140625" style="3" customWidth="1"/>
  </cols>
  <sheetData>
    <row r="1" ht="12.75" customHeight="1">
      <c r="A1" s="1" t="s">
        <v>26</v>
      </c>
    </row>
    <row r="2" ht="10.5" customHeight="1">
      <c r="A2" s="1"/>
    </row>
    <row r="3" spans="1:18" ht="12.75" customHeight="1">
      <c r="A3" s="28"/>
      <c r="B3" s="34" t="s">
        <v>1</v>
      </c>
      <c r="C3" s="35"/>
      <c r="D3" s="34" t="s">
        <v>2</v>
      </c>
      <c r="E3" s="35"/>
      <c r="F3" s="34" t="s">
        <v>3</v>
      </c>
      <c r="G3" s="35"/>
      <c r="H3" s="34" t="s">
        <v>4</v>
      </c>
      <c r="I3" s="35"/>
      <c r="J3" s="34" t="s">
        <v>5</v>
      </c>
      <c r="K3" s="35"/>
      <c r="L3" s="127" t="s">
        <v>6</v>
      </c>
      <c r="M3" s="128"/>
      <c r="N3" s="34" t="s">
        <v>40</v>
      </c>
      <c r="O3" s="35"/>
      <c r="P3" s="34" t="s">
        <v>7</v>
      </c>
      <c r="Q3" s="35"/>
      <c r="R3" s="30" t="s">
        <v>8</v>
      </c>
    </row>
    <row r="4" spans="1:18" ht="12.75" customHeight="1">
      <c r="A4" s="7" t="s">
        <v>64</v>
      </c>
      <c r="B4" s="31" t="s">
        <v>9</v>
      </c>
      <c r="C4" s="32" t="s">
        <v>10</v>
      </c>
      <c r="D4" s="31" t="s">
        <v>9</v>
      </c>
      <c r="E4" s="32" t="s">
        <v>10</v>
      </c>
      <c r="F4" s="31" t="s">
        <v>9</v>
      </c>
      <c r="G4" s="32" t="s">
        <v>10</v>
      </c>
      <c r="H4" s="31" t="s">
        <v>9</v>
      </c>
      <c r="I4" s="32" t="s">
        <v>10</v>
      </c>
      <c r="J4" s="31" t="s">
        <v>9</v>
      </c>
      <c r="K4" s="32" t="s">
        <v>10</v>
      </c>
      <c r="L4" s="31" t="s">
        <v>9</v>
      </c>
      <c r="M4" s="32" t="s">
        <v>10</v>
      </c>
      <c r="N4" s="31" t="s">
        <v>9</v>
      </c>
      <c r="O4" s="32" t="s">
        <v>10</v>
      </c>
      <c r="P4" s="31" t="s">
        <v>9</v>
      </c>
      <c r="Q4" s="32" t="s">
        <v>10</v>
      </c>
      <c r="R4" s="33" t="s">
        <v>7</v>
      </c>
    </row>
    <row r="5" spans="1:18" ht="10.5" customHeight="1">
      <c r="A5" s="28"/>
      <c r="B5" s="4"/>
      <c r="C5" s="5"/>
      <c r="D5" s="4"/>
      <c r="E5" s="5"/>
      <c r="F5" s="4"/>
      <c r="G5" s="5"/>
      <c r="H5" s="4"/>
      <c r="I5" s="5"/>
      <c r="J5" s="4"/>
      <c r="K5" s="5"/>
      <c r="L5" s="4"/>
      <c r="M5" s="5"/>
      <c r="N5" s="4"/>
      <c r="O5" s="5"/>
      <c r="P5" s="4"/>
      <c r="Q5" s="5"/>
      <c r="R5" s="10"/>
    </row>
    <row r="6" spans="1:18" ht="12.75" customHeight="1">
      <c r="A6" s="17" t="s">
        <v>43</v>
      </c>
      <c r="B6" s="44">
        <v>3</v>
      </c>
      <c r="C6" s="45">
        <v>5</v>
      </c>
      <c r="D6" s="44">
        <v>0</v>
      </c>
      <c r="E6" s="45">
        <v>0</v>
      </c>
      <c r="F6" s="44">
        <v>0</v>
      </c>
      <c r="G6" s="45">
        <v>0</v>
      </c>
      <c r="H6" s="44">
        <v>0</v>
      </c>
      <c r="I6" s="45">
        <v>0</v>
      </c>
      <c r="J6" s="44">
        <v>0</v>
      </c>
      <c r="K6" s="45">
        <v>1</v>
      </c>
      <c r="L6" s="44">
        <v>0</v>
      </c>
      <c r="M6" s="45">
        <v>0</v>
      </c>
      <c r="N6" s="44">
        <v>0</v>
      </c>
      <c r="O6" s="45">
        <v>0</v>
      </c>
      <c r="P6" s="44">
        <f aca="true" t="shared" si="0" ref="P6:Q10">N6+L6+J6+H6+F6+D6+B6</f>
        <v>3</v>
      </c>
      <c r="Q6" s="45">
        <f t="shared" si="0"/>
        <v>6</v>
      </c>
      <c r="R6" s="46">
        <f>Q6+P6</f>
        <v>9</v>
      </c>
    </row>
    <row r="7" spans="1:18" ht="12.75" customHeight="1">
      <c r="A7" s="52" t="s">
        <v>46</v>
      </c>
      <c r="B7" s="44">
        <v>2</v>
      </c>
      <c r="C7" s="45">
        <v>2</v>
      </c>
      <c r="D7" s="44">
        <v>0</v>
      </c>
      <c r="E7" s="45">
        <v>0</v>
      </c>
      <c r="F7" s="44">
        <v>0</v>
      </c>
      <c r="G7" s="45">
        <v>0</v>
      </c>
      <c r="H7" s="44">
        <v>0</v>
      </c>
      <c r="I7" s="45">
        <v>0</v>
      </c>
      <c r="J7" s="44">
        <v>0</v>
      </c>
      <c r="K7" s="45">
        <v>0</v>
      </c>
      <c r="L7" s="44">
        <v>0</v>
      </c>
      <c r="M7" s="45">
        <v>0</v>
      </c>
      <c r="N7" s="44">
        <v>0</v>
      </c>
      <c r="O7" s="45">
        <v>1</v>
      </c>
      <c r="P7" s="44">
        <f t="shared" si="0"/>
        <v>2</v>
      </c>
      <c r="Q7" s="45">
        <f t="shared" si="0"/>
        <v>3</v>
      </c>
      <c r="R7" s="46">
        <f>Q7+P7</f>
        <v>5</v>
      </c>
    </row>
    <row r="8" spans="1:18" ht="12.75" customHeight="1">
      <c r="A8" s="52" t="s">
        <v>49</v>
      </c>
      <c r="B8" s="44">
        <v>2</v>
      </c>
      <c r="C8" s="45">
        <v>8</v>
      </c>
      <c r="D8" s="44">
        <v>0</v>
      </c>
      <c r="E8" s="45">
        <v>0</v>
      </c>
      <c r="F8" s="44">
        <v>0</v>
      </c>
      <c r="G8" s="45">
        <v>0</v>
      </c>
      <c r="H8" s="44">
        <v>1</v>
      </c>
      <c r="I8" s="45">
        <v>1</v>
      </c>
      <c r="J8" s="44">
        <v>0</v>
      </c>
      <c r="K8" s="45">
        <v>0</v>
      </c>
      <c r="L8" s="44">
        <v>0</v>
      </c>
      <c r="M8" s="45">
        <v>1</v>
      </c>
      <c r="N8" s="44">
        <v>0</v>
      </c>
      <c r="O8" s="45">
        <v>0</v>
      </c>
      <c r="P8" s="44">
        <f t="shared" si="0"/>
        <v>3</v>
      </c>
      <c r="Q8" s="45">
        <f t="shared" si="0"/>
        <v>10</v>
      </c>
      <c r="R8" s="46">
        <f>Q8+P8</f>
        <v>13</v>
      </c>
    </row>
    <row r="9" spans="1:18" ht="12.75" customHeight="1">
      <c r="A9" s="52" t="s">
        <v>58</v>
      </c>
      <c r="B9" s="44">
        <v>2</v>
      </c>
      <c r="C9" s="45">
        <v>3</v>
      </c>
      <c r="D9" s="44">
        <v>0</v>
      </c>
      <c r="E9" s="45">
        <v>0</v>
      </c>
      <c r="F9" s="44">
        <v>0</v>
      </c>
      <c r="G9" s="45">
        <v>0</v>
      </c>
      <c r="H9" s="44">
        <v>1</v>
      </c>
      <c r="I9" s="45">
        <v>1</v>
      </c>
      <c r="J9" s="44">
        <v>0</v>
      </c>
      <c r="K9" s="45">
        <v>0</v>
      </c>
      <c r="L9" s="44">
        <v>0</v>
      </c>
      <c r="M9" s="45">
        <v>0</v>
      </c>
      <c r="N9" s="44">
        <v>0</v>
      </c>
      <c r="O9" s="45">
        <v>0</v>
      </c>
      <c r="P9" s="44">
        <f t="shared" si="0"/>
        <v>3</v>
      </c>
      <c r="Q9" s="45">
        <f t="shared" si="0"/>
        <v>4</v>
      </c>
      <c r="R9" s="46">
        <f>Q9+P9</f>
        <v>7</v>
      </c>
    </row>
    <row r="10" spans="1:18" ht="12.75" customHeight="1">
      <c r="A10" s="52" t="s">
        <v>60</v>
      </c>
      <c r="B10" s="44">
        <v>4</v>
      </c>
      <c r="C10" s="45">
        <v>3</v>
      </c>
      <c r="D10" s="44">
        <v>1</v>
      </c>
      <c r="E10" s="45">
        <v>1</v>
      </c>
      <c r="F10" s="44">
        <v>0</v>
      </c>
      <c r="G10" s="45">
        <v>0</v>
      </c>
      <c r="H10" s="44">
        <v>0</v>
      </c>
      <c r="I10" s="45">
        <v>1</v>
      </c>
      <c r="J10" s="44">
        <v>0</v>
      </c>
      <c r="K10" s="45">
        <v>1</v>
      </c>
      <c r="L10" s="44">
        <v>0</v>
      </c>
      <c r="M10" s="45">
        <v>1</v>
      </c>
      <c r="N10" s="44">
        <v>0</v>
      </c>
      <c r="O10" s="45">
        <v>0</v>
      </c>
      <c r="P10" s="44">
        <f t="shared" si="0"/>
        <v>5</v>
      </c>
      <c r="Q10" s="45">
        <f t="shared" si="0"/>
        <v>7</v>
      </c>
      <c r="R10" s="46">
        <f>Q10+P10</f>
        <v>12</v>
      </c>
    </row>
    <row r="11" spans="2:18" ht="10.5" customHeight="1">
      <c r="B11" s="11"/>
      <c r="C11" s="12"/>
      <c r="D11" s="11"/>
      <c r="E11" s="12"/>
      <c r="F11" s="11"/>
      <c r="G11" s="12"/>
      <c r="H11" s="11"/>
      <c r="I11" s="12"/>
      <c r="J11" s="11"/>
      <c r="K11" s="12"/>
      <c r="L11" s="11"/>
      <c r="M11" s="12"/>
      <c r="N11" s="11"/>
      <c r="O11" s="12"/>
      <c r="P11" s="11"/>
      <c r="Q11" s="12"/>
      <c r="R11" s="13"/>
    </row>
    <row r="12" ht="10.5" customHeight="1"/>
    <row r="13" spans="1:18" ht="12.75" customHeight="1">
      <c r="A13" s="28"/>
      <c r="B13" s="34" t="s">
        <v>1</v>
      </c>
      <c r="C13" s="35"/>
      <c r="D13" s="34" t="s">
        <v>2</v>
      </c>
      <c r="E13" s="35"/>
      <c r="F13" s="34" t="s">
        <v>3</v>
      </c>
      <c r="G13" s="35"/>
      <c r="H13" s="34" t="s">
        <v>4</v>
      </c>
      <c r="I13" s="35"/>
      <c r="J13" s="34" t="s">
        <v>5</v>
      </c>
      <c r="K13" s="35"/>
      <c r="L13" s="127" t="s">
        <v>6</v>
      </c>
      <c r="M13" s="128"/>
      <c r="N13" s="34" t="s">
        <v>40</v>
      </c>
      <c r="O13" s="35"/>
      <c r="P13" s="34" t="s">
        <v>7</v>
      </c>
      <c r="Q13" s="35"/>
      <c r="R13" s="30" t="s">
        <v>8</v>
      </c>
    </row>
    <row r="14" spans="1:18" ht="12.75" customHeight="1">
      <c r="A14" s="54" t="s">
        <v>63</v>
      </c>
      <c r="B14" s="31" t="s">
        <v>9</v>
      </c>
      <c r="C14" s="32" t="s">
        <v>10</v>
      </c>
      <c r="D14" s="31" t="s">
        <v>9</v>
      </c>
      <c r="E14" s="32" t="s">
        <v>10</v>
      </c>
      <c r="F14" s="31" t="s">
        <v>9</v>
      </c>
      <c r="G14" s="32" t="s">
        <v>10</v>
      </c>
      <c r="H14" s="31" t="s">
        <v>9</v>
      </c>
      <c r="I14" s="32" t="s">
        <v>10</v>
      </c>
      <c r="J14" s="31" t="s">
        <v>9</v>
      </c>
      <c r="K14" s="32" t="s">
        <v>10</v>
      </c>
      <c r="L14" s="31" t="s">
        <v>9</v>
      </c>
      <c r="M14" s="32" t="s">
        <v>10</v>
      </c>
      <c r="N14" s="31" t="s">
        <v>9</v>
      </c>
      <c r="O14" s="32" t="s">
        <v>10</v>
      </c>
      <c r="P14" s="31" t="s">
        <v>9</v>
      </c>
      <c r="Q14" s="32" t="s">
        <v>10</v>
      </c>
      <c r="R14" s="33" t="s">
        <v>7</v>
      </c>
    </row>
    <row r="15" spans="1:18" ht="10.5" customHeight="1">
      <c r="A15" s="28"/>
      <c r="B15" s="4"/>
      <c r="C15" s="5"/>
      <c r="D15" s="4"/>
      <c r="E15" s="5"/>
      <c r="F15" s="4"/>
      <c r="G15" s="5"/>
      <c r="H15" s="4"/>
      <c r="I15" s="5"/>
      <c r="J15" s="4"/>
      <c r="K15" s="5"/>
      <c r="L15" s="4"/>
      <c r="M15" s="5"/>
      <c r="N15" s="4"/>
      <c r="O15" s="5"/>
      <c r="P15" s="4"/>
      <c r="Q15" s="5"/>
      <c r="R15" s="10"/>
    </row>
    <row r="16" spans="1:18" ht="12.75" customHeight="1">
      <c r="A16" s="17" t="s">
        <v>43</v>
      </c>
      <c r="B16" s="44">
        <v>1</v>
      </c>
      <c r="C16" s="45">
        <v>0</v>
      </c>
      <c r="D16" s="44">
        <v>0</v>
      </c>
      <c r="E16" s="45">
        <v>0</v>
      </c>
      <c r="F16" s="44">
        <v>0</v>
      </c>
      <c r="G16" s="45">
        <v>0</v>
      </c>
      <c r="H16" s="44">
        <v>0</v>
      </c>
      <c r="I16" s="45">
        <v>0</v>
      </c>
      <c r="J16" s="44">
        <v>0</v>
      </c>
      <c r="K16" s="45">
        <v>0</v>
      </c>
      <c r="L16" s="44">
        <v>0</v>
      </c>
      <c r="M16" s="45">
        <v>2</v>
      </c>
      <c r="N16" s="44">
        <v>0</v>
      </c>
      <c r="O16" s="45">
        <v>0</v>
      </c>
      <c r="P16" s="44">
        <f aca="true" t="shared" si="1" ref="P16:Q20">N16+L16+J16+H16+F16+D16+B16</f>
        <v>1</v>
      </c>
      <c r="Q16" s="45">
        <f t="shared" si="1"/>
        <v>2</v>
      </c>
      <c r="R16" s="46">
        <f>Q16+P16</f>
        <v>3</v>
      </c>
    </row>
    <row r="17" spans="1:18" ht="12.75" customHeight="1">
      <c r="A17" s="52" t="s">
        <v>46</v>
      </c>
      <c r="B17" s="44">
        <v>1</v>
      </c>
      <c r="C17" s="45">
        <v>2</v>
      </c>
      <c r="D17" s="44">
        <v>0</v>
      </c>
      <c r="E17" s="45">
        <v>0</v>
      </c>
      <c r="F17" s="44">
        <v>0</v>
      </c>
      <c r="G17" s="45">
        <v>0</v>
      </c>
      <c r="H17" s="44">
        <v>0</v>
      </c>
      <c r="I17" s="45">
        <v>0</v>
      </c>
      <c r="J17" s="44">
        <v>0</v>
      </c>
      <c r="K17" s="45">
        <v>0</v>
      </c>
      <c r="L17" s="44">
        <v>1</v>
      </c>
      <c r="M17" s="45">
        <v>0</v>
      </c>
      <c r="N17" s="44">
        <v>0</v>
      </c>
      <c r="O17" s="45">
        <v>0</v>
      </c>
      <c r="P17" s="44">
        <f t="shared" si="1"/>
        <v>2</v>
      </c>
      <c r="Q17" s="45">
        <f t="shared" si="1"/>
        <v>2</v>
      </c>
      <c r="R17" s="46">
        <f>Q17+P17</f>
        <v>4</v>
      </c>
    </row>
    <row r="18" spans="1:18" ht="12.75" customHeight="1">
      <c r="A18" s="52" t="s">
        <v>49</v>
      </c>
      <c r="B18" s="44">
        <v>0</v>
      </c>
      <c r="C18" s="45">
        <v>1</v>
      </c>
      <c r="D18" s="44">
        <v>0</v>
      </c>
      <c r="E18" s="45">
        <v>1</v>
      </c>
      <c r="F18" s="44">
        <v>0</v>
      </c>
      <c r="G18" s="45">
        <v>0</v>
      </c>
      <c r="H18" s="44">
        <v>0</v>
      </c>
      <c r="I18" s="45">
        <v>0</v>
      </c>
      <c r="J18" s="44">
        <v>0</v>
      </c>
      <c r="K18" s="45">
        <v>0</v>
      </c>
      <c r="L18" s="44">
        <v>0</v>
      </c>
      <c r="M18" s="45">
        <v>1</v>
      </c>
      <c r="N18" s="44">
        <v>0</v>
      </c>
      <c r="O18" s="45">
        <v>0</v>
      </c>
      <c r="P18" s="44">
        <f t="shared" si="1"/>
        <v>0</v>
      </c>
      <c r="Q18" s="45">
        <f t="shared" si="1"/>
        <v>3</v>
      </c>
      <c r="R18" s="46">
        <f>Q18+P18</f>
        <v>3</v>
      </c>
    </row>
    <row r="19" spans="1:18" ht="12.75" customHeight="1">
      <c r="A19" s="52" t="s">
        <v>58</v>
      </c>
      <c r="B19" s="44">
        <v>3</v>
      </c>
      <c r="C19" s="45">
        <v>0</v>
      </c>
      <c r="D19" s="44">
        <v>0</v>
      </c>
      <c r="E19" s="45">
        <v>0</v>
      </c>
      <c r="F19" s="44">
        <v>0</v>
      </c>
      <c r="G19" s="45">
        <v>0</v>
      </c>
      <c r="H19" s="44">
        <v>0</v>
      </c>
      <c r="I19" s="45">
        <v>0</v>
      </c>
      <c r="J19" s="44">
        <v>0</v>
      </c>
      <c r="K19" s="45">
        <v>0</v>
      </c>
      <c r="L19" s="44">
        <v>0</v>
      </c>
      <c r="M19" s="45">
        <v>0</v>
      </c>
      <c r="N19" s="44">
        <v>0</v>
      </c>
      <c r="O19" s="45">
        <v>0</v>
      </c>
      <c r="P19" s="44">
        <f t="shared" si="1"/>
        <v>3</v>
      </c>
      <c r="Q19" s="45">
        <f t="shared" si="1"/>
        <v>0</v>
      </c>
      <c r="R19" s="46">
        <f>Q19+P19</f>
        <v>3</v>
      </c>
    </row>
    <row r="20" spans="1:18" ht="12.75" customHeight="1">
      <c r="A20" s="52" t="s">
        <v>60</v>
      </c>
      <c r="B20" s="44">
        <v>0</v>
      </c>
      <c r="C20" s="45">
        <v>0</v>
      </c>
      <c r="D20" s="44">
        <v>0</v>
      </c>
      <c r="E20" s="45">
        <v>0</v>
      </c>
      <c r="F20" s="44">
        <v>0</v>
      </c>
      <c r="G20" s="45">
        <v>0</v>
      </c>
      <c r="H20" s="44">
        <v>0</v>
      </c>
      <c r="I20" s="45">
        <v>1</v>
      </c>
      <c r="J20" s="44">
        <v>0</v>
      </c>
      <c r="K20" s="45">
        <v>0</v>
      </c>
      <c r="L20" s="44">
        <v>0</v>
      </c>
      <c r="M20" s="45">
        <v>1</v>
      </c>
      <c r="N20" s="44">
        <v>0</v>
      </c>
      <c r="O20" s="45">
        <v>0</v>
      </c>
      <c r="P20" s="44">
        <f t="shared" si="1"/>
        <v>0</v>
      </c>
      <c r="Q20" s="45">
        <f t="shared" si="1"/>
        <v>2</v>
      </c>
      <c r="R20" s="46">
        <f>Q20+P20</f>
        <v>2</v>
      </c>
    </row>
    <row r="21" spans="2:18" ht="10.5" customHeight="1">
      <c r="B21" s="11"/>
      <c r="C21" s="12"/>
      <c r="D21" s="11"/>
      <c r="E21" s="12"/>
      <c r="F21" s="11"/>
      <c r="G21" s="12"/>
      <c r="H21" s="11"/>
      <c r="I21" s="12"/>
      <c r="J21" s="11"/>
      <c r="K21" s="12"/>
      <c r="L21" s="11"/>
      <c r="M21" s="12"/>
      <c r="N21" s="11"/>
      <c r="O21" s="12"/>
      <c r="P21" s="11"/>
      <c r="Q21" s="12"/>
      <c r="R21" s="13"/>
    </row>
    <row r="22" spans="2:16" ht="10.5" customHeight="1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</row>
    <row r="23" ht="12.75" customHeight="1">
      <c r="A23" s="7" t="s">
        <v>17</v>
      </c>
    </row>
    <row r="24" spans="1:18" ht="12.75" customHeight="1">
      <c r="A24" s="7" t="s">
        <v>12</v>
      </c>
      <c r="B24" s="34" t="s">
        <v>1</v>
      </c>
      <c r="C24" s="35"/>
      <c r="D24" s="34" t="s">
        <v>2</v>
      </c>
      <c r="E24" s="35"/>
      <c r="F24" s="34" t="s">
        <v>3</v>
      </c>
      <c r="G24" s="35"/>
      <c r="H24" s="34" t="s">
        <v>4</v>
      </c>
      <c r="I24" s="35"/>
      <c r="J24" s="34" t="s">
        <v>5</v>
      </c>
      <c r="K24" s="35"/>
      <c r="L24" s="127" t="s">
        <v>6</v>
      </c>
      <c r="M24" s="128"/>
      <c r="N24" s="34" t="s">
        <v>40</v>
      </c>
      <c r="O24" s="35"/>
      <c r="P24" s="34" t="s">
        <v>7</v>
      </c>
      <c r="Q24" s="35"/>
      <c r="R24" s="30" t="s">
        <v>8</v>
      </c>
    </row>
    <row r="25" spans="1:18" ht="12.75" customHeight="1">
      <c r="A25" s="7" t="s">
        <v>13</v>
      </c>
      <c r="B25" s="31" t="s">
        <v>9</v>
      </c>
      <c r="C25" s="32" t="s">
        <v>10</v>
      </c>
      <c r="D25" s="31" t="s">
        <v>9</v>
      </c>
      <c r="E25" s="32" t="s">
        <v>10</v>
      </c>
      <c r="F25" s="31" t="s">
        <v>9</v>
      </c>
      <c r="G25" s="32" t="s">
        <v>10</v>
      </c>
      <c r="H25" s="31" t="s">
        <v>9</v>
      </c>
      <c r="I25" s="32" t="s">
        <v>10</v>
      </c>
      <c r="J25" s="31" t="s">
        <v>9</v>
      </c>
      <c r="K25" s="32" t="s">
        <v>10</v>
      </c>
      <c r="L25" s="31" t="s">
        <v>9</v>
      </c>
      <c r="M25" s="32" t="s">
        <v>10</v>
      </c>
      <c r="N25" s="31" t="s">
        <v>9</v>
      </c>
      <c r="O25" s="32" t="s">
        <v>10</v>
      </c>
      <c r="P25" s="31" t="s">
        <v>9</v>
      </c>
      <c r="Q25" s="32" t="s">
        <v>10</v>
      </c>
      <c r="R25" s="33" t="s">
        <v>7</v>
      </c>
    </row>
    <row r="26" spans="1:18" ht="10.5" customHeight="1">
      <c r="A26" s="7"/>
      <c r="B26" s="14"/>
      <c r="C26" s="15"/>
      <c r="D26" s="14"/>
      <c r="E26" s="15"/>
      <c r="F26" s="14"/>
      <c r="G26" s="15"/>
      <c r="H26" s="14"/>
      <c r="I26" s="15"/>
      <c r="J26" s="14"/>
      <c r="K26" s="15"/>
      <c r="L26" s="14"/>
      <c r="M26" s="15"/>
      <c r="N26" s="14"/>
      <c r="O26" s="15"/>
      <c r="P26" s="14"/>
      <c r="Q26" s="15"/>
      <c r="R26" s="16"/>
    </row>
    <row r="27" spans="1:18" s="2" customFormat="1" ht="12.75" customHeight="1">
      <c r="A27" s="17" t="s">
        <v>43</v>
      </c>
      <c r="B27" s="44">
        <v>20</v>
      </c>
      <c r="C27" s="45">
        <v>33</v>
      </c>
      <c r="D27" s="44">
        <v>2</v>
      </c>
      <c r="E27" s="45">
        <v>2</v>
      </c>
      <c r="F27" s="44">
        <v>1</v>
      </c>
      <c r="G27" s="45">
        <v>2</v>
      </c>
      <c r="H27" s="44">
        <v>0</v>
      </c>
      <c r="I27" s="45">
        <v>2</v>
      </c>
      <c r="J27" s="44">
        <v>0</v>
      </c>
      <c r="K27" s="45">
        <v>3</v>
      </c>
      <c r="L27" s="44">
        <v>3</v>
      </c>
      <c r="M27" s="45">
        <v>0</v>
      </c>
      <c r="N27" s="44">
        <v>1</v>
      </c>
      <c r="O27" s="45">
        <v>1</v>
      </c>
      <c r="P27" s="44">
        <f aca="true" t="shared" si="2" ref="P27:Q31">N27+L27+J27+H27+F27+D27+B27</f>
        <v>27</v>
      </c>
      <c r="Q27" s="45">
        <f t="shared" si="2"/>
        <v>43</v>
      </c>
      <c r="R27" s="46">
        <f>Q27+P27</f>
        <v>70</v>
      </c>
    </row>
    <row r="28" spans="1:18" s="2" customFormat="1" ht="12.75" customHeight="1">
      <c r="A28" s="52" t="s">
        <v>46</v>
      </c>
      <c r="B28" s="44">
        <v>16</v>
      </c>
      <c r="C28" s="45">
        <v>31</v>
      </c>
      <c r="D28" s="44">
        <v>3</v>
      </c>
      <c r="E28" s="45">
        <v>5</v>
      </c>
      <c r="F28" s="44">
        <v>2</v>
      </c>
      <c r="G28" s="45">
        <v>2</v>
      </c>
      <c r="H28" s="44">
        <v>2</v>
      </c>
      <c r="I28" s="45">
        <v>2</v>
      </c>
      <c r="J28" s="44">
        <v>0</v>
      </c>
      <c r="K28" s="45">
        <v>2</v>
      </c>
      <c r="L28" s="44">
        <v>4</v>
      </c>
      <c r="M28" s="45">
        <v>1</v>
      </c>
      <c r="N28" s="44">
        <v>1</v>
      </c>
      <c r="O28" s="45">
        <v>0</v>
      </c>
      <c r="P28" s="44">
        <f t="shared" si="2"/>
        <v>28</v>
      </c>
      <c r="Q28" s="45">
        <f t="shared" si="2"/>
        <v>43</v>
      </c>
      <c r="R28" s="46">
        <f>Q28+P28</f>
        <v>71</v>
      </c>
    </row>
    <row r="29" spans="1:18" s="2" customFormat="1" ht="12.75" customHeight="1">
      <c r="A29" s="52" t="s">
        <v>49</v>
      </c>
      <c r="B29" s="44">
        <v>24</v>
      </c>
      <c r="C29" s="45">
        <v>28</v>
      </c>
      <c r="D29" s="44">
        <v>2</v>
      </c>
      <c r="E29" s="45">
        <v>4</v>
      </c>
      <c r="F29" s="44">
        <v>1</v>
      </c>
      <c r="G29" s="45">
        <v>2</v>
      </c>
      <c r="H29" s="44">
        <v>2</v>
      </c>
      <c r="I29" s="45">
        <v>3</v>
      </c>
      <c r="J29" s="44">
        <v>2</v>
      </c>
      <c r="K29" s="45">
        <v>2</v>
      </c>
      <c r="L29" s="44">
        <v>5</v>
      </c>
      <c r="M29" s="45">
        <v>5</v>
      </c>
      <c r="N29" s="44">
        <v>1</v>
      </c>
      <c r="O29" s="45">
        <v>1</v>
      </c>
      <c r="P29" s="44">
        <f t="shared" si="2"/>
        <v>37</v>
      </c>
      <c r="Q29" s="45">
        <f t="shared" si="2"/>
        <v>45</v>
      </c>
      <c r="R29" s="46">
        <f>Q29+P29</f>
        <v>82</v>
      </c>
    </row>
    <row r="30" spans="1:18" s="2" customFormat="1" ht="12.75" customHeight="1">
      <c r="A30" s="52" t="s">
        <v>58</v>
      </c>
      <c r="B30" s="44">
        <v>30</v>
      </c>
      <c r="C30" s="45">
        <v>23</v>
      </c>
      <c r="D30" s="44">
        <v>4</v>
      </c>
      <c r="E30" s="45">
        <v>10</v>
      </c>
      <c r="F30" s="44">
        <v>1</v>
      </c>
      <c r="G30" s="45">
        <v>2</v>
      </c>
      <c r="H30" s="44">
        <v>0</v>
      </c>
      <c r="I30" s="45">
        <v>3</v>
      </c>
      <c r="J30" s="44">
        <v>1</v>
      </c>
      <c r="K30" s="45">
        <v>2</v>
      </c>
      <c r="L30" s="44">
        <v>5</v>
      </c>
      <c r="M30" s="45">
        <v>2</v>
      </c>
      <c r="N30" s="44">
        <v>1</v>
      </c>
      <c r="O30" s="45">
        <v>2</v>
      </c>
      <c r="P30" s="44">
        <f t="shared" si="2"/>
        <v>42</v>
      </c>
      <c r="Q30" s="45">
        <f t="shared" si="2"/>
        <v>44</v>
      </c>
      <c r="R30" s="46">
        <f>Q30+P30</f>
        <v>86</v>
      </c>
    </row>
    <row r="31" spans="1:18" s="2" customFormat="1" ht="12.75" customHeight="1">
      <c r="A31" s="52" t="s">
        <v>60</v>
      </c>
      <c r="B31" s="44">
        <v>32</v>
      </c>
      <c r="C31" s="45">
        <v>30</v>
      </c>
      <c r="D31" s="44">
        <v>2</v>
      </c>
      <c r="E31" s="45">
        <v>12</v>
      </c>
      <c r="F31" s="44">
        <v>1</v>
      </c>
      <c r="G31" s="45">
        <v>3</v>
      </c>
      <c r="H31" s="44">
        <v>1</v>
      </c>
      <c r="I31" s="45">
        <v>1</v>
      </c>
      <c r="J31" s="44">
        <v>1</v>
      </c>
      <c r="K31" s="45">
        <v>2</v>
      </c>
      <c r="L31" s="44">
        <v>4</v>
      </c>
      <c r="M31" s="45">
        <v>3</v>
      </c>
      <c r="N31" s="44">
        <v>1</v>
      </c>
      <c r="O31" s="45">
        <v>0</v>
      </c>
      <c r="P31" s="44">
        <f t="shared" si="2"/>
        <v>42</v>
      </c>
      <c r="Q31" s="45">
        <f t="shared" si="2"/>
        <v>51</v>
      </c>
      <c r="R31" s="46">
        <f>Q31+P31</f>
        <v>93</v>
      </c>
    </row>
    <row r="32" spans="2:18" ht="10.5" customHeight="1">
      <c r="B32" s="11"/>
      <c r="C32" s="12"/>
      <c r="D32" s="11"/>
      <c r="E32" s="12"/>
      <c r="F32" s="11"/>
      <c r="G32" s="12"/>
      <c r="H32" s="11"/>
      <c r="I32" s="12"/>
      <c r="J32" s="11"/>
      <c r="K32" s="12"/>
      <c r="L32" s="11"/>
      <c r="M32" s="12"/>
      <c r="N32" s="11"/>
      <c r="O32" s="12"/>
      <c r="P32" s="11"/>
      <c r="Q32" s="12"/>
      <c r="R32" s="13"/>
    </row>
    <row r="33" spans="1:15" ht="10.5" customHeight="1">
      <c r="A33" s="28"/>
      <c r="B33"/>
      <c r="C33"/>
      <c r="D33"/>
      <c r="E33"/>
      <c r="F33"/>
      <c r="G33"/>
      <c r="H33"/>
      <c r="I33"/>
      <c r="J33"/>
      <c r="K33"/>
      <c r="L33"/>
      <c r="M33"/>
      <c r="N33"/>
      <c r="O33"/>
    </row>
    <row r="34" spans="1:15" ht="12.75" customHeight="1">
      <c r="A34" s="7" t="s">
        <v>11</v>
      </c>
      <c r="B34"/>
      <c r="C34"/>
      <c r="D34"/>
      <c r="E34"/>
      <c r="F34"/>
      <c r="G34"/>
      <c r="H34"/>
      <c r="I34"/>
      <c r="J34"/>
      <c r="K34"/>
      <c r="L34"/>
      <c r="M34"/>
      <c r="N34"/>
      <c r="O34"/>
    </row>
    <row r="35" spans="1:18" ht="12.75" customHeight="1">
      <c r="A35" s="7" t="s">
        <v>12</v>
      </c>
      <c r="B35" s="34" t="s">
        <v>1</v>
      </c>
      <c r="C35" s="35"/>
      <c r="D35" s="34" t="s">
        <v>2</v>
      </c>
      <c r="E35" s="35"/>
      <c r="F35" s="34" t="s">
        <v>3</v>
      </c>
      <c r="G35" s="35"/>
      <c r="H35" s="34" t="s">
        <v>4</v>
      </c>
      <c r="I35" s="35"/>
      <c r="J35" s="34" t="s">
        <v>5</v>
      </c>
      <c r="K35" s="35"/>
      <c r="L35" s="127" t="s">
        <v>6</v>
      </c>
      <c r="M35" s="128"/>
      <c r="N35" s="34" t="s">
        <v>40</v>
      </c>
      <c r="O35" s="35"/>
      <c r="P35" s="34" t="s">
        <v>7</v>
      </c>
      <c r="Q35" s="35"/>
      <c r="R35" s="30" t="s">
        <v>8</v>
      </c>
    </row>
    <row r="36" spans="1:18" ht="12.75" customHeight="1">
      <c r="A36" s="7" t="s">
        <v>13</v>
      </c>
      <c r="B36" s="31" t="s">
        <v>9</v>
      </c>
      <c r="C36" s="32" t="s">
        <v>10</v>
      </c>
      <c r="D36" s="31" t="s">
        <v>9</v>
      </c>
      <c r="E36" s="32" t="s">
        <v>10</v>
      </c>
      <c r="F36" s="31" t="s">
        <v>9</v>
      </c>
      <c r="G36" s="32" t="s">
        <v>10</v>
      </c>
      <c r="H36" s="31" t="s">
        <v>9</v>
      </c>
      <c r="I36" s="32" t="s">
        <v>10</v>
      </c>
      <c r="J36" s="31" t="s">
        <v>9</v>
      </c>
      <c r="K36" s="32" t="s">
        <v>10</v>
      </c>
      <c r="L36" s="31" t="s">
        <v>9</v>
      </c>
      <c r="M36" s="32" t="s">
        <v>10</v>
      </c>
      <c r="N36" s="31" t="s">
        <v>9</v>
      </c>
      <c r="O36" s="32" t="s">
        <v>10</v>
      </c>
      <c r="P36" s="31" t="s">
        <v>9</v>
      </c>
      <c r="Q36" s="32" t="s">
        <v>10</v>
      </c>
      <c r="R36" s="33" t="s">
        <v>7</v>
      </c>
    </row>
    <row r="37" spans="1:18" ht="10.5" customHeight="1">
      <c r="A37" s="7"/>
      <c r="B37" s="14"/>
      <c r="C37" s="15"/>
      <c r="D37" s="14"/>
      <c r="E37" s="15"/>
      <c r="F37" s="14"/>
      <c r="G37" s="15"/>
      <c r="H37" s="14"/>
      <c r="I37" s="15"/>
      <c r="J37" s="14"/>
      <c r="K37" s="15"/>
      <c r="L37" s="14"/>
      <c r="M37" s="15"/>
      <c r="N37" s="14"/>
      <c r="O37" s="15"/>
      <c r="P37" s="14"/>
      <c r="Q37" s="15"/>
      <c r="R37" s="16"/>
    </row>
    <row r="38" spans="1:18" s="2" customFormat="1" ht="12.75" customHeight="1">
      <c r="A38" s="17" t="s">
        <v>43</v>
      </c>
      <c r="B38" s="44">
        <v>3</v>
      </c>
      <c r="C38" s="45">
        <v>2</v>
      </c>
      <c r="D38" s="44">
        <v>1</v>
      </c>
      <c r="E38" s="45">
        <v>2</v>
      </c>
      <c r="F38" s="44">
        <v>0</v>
      </c>
      <c r="G38" s="45">
        <v>0</v>
      </c>
      <c r="H38" s="44">
        <v>0</v>
      </c>
      <c r="I38" s="45">
        <v>0</v>
      </c>
      <c r="J38" s="44">
        <v>0</v>
      </c>
      <c r="K38" s="45">
        <v>0</v>
      </c>
      <c r="L38" s="44">
        <v>1</v>
      </c>
      <c r="M38" s="45">
        <v>2</v>
      </c>
      <c r="N38" s="44">
        <v>0</v>
      </c>
      <c r="O38" s="45">
        <v>0</v>
      </c>
      <c r="P38" s="44">
        <f aca="true" t="shared" si="3" ref="P38:Q42">N38+L38+J38+H38+F38+D38+B38</f>
        <v>5</v>
      </c>
      <c r="Q38" s="45">
        <f t="shared" si="3"/>
        <v>6</v>
      </c>
      <c r="R38" s="46">
        <f>Q38+P38</f>
        <v>11</v>
      </c>
    </row>
    <row r="39" spans="1:18" s="2" customFormat="1" ht="12.75" customHeight="1">
      <c r="A39" s="52" t="s">
        <v>46</v>
      </c>
      <c r="B39" s="44">
        <v>4</v>
      </c>
      <c r="C39" s="45">
        <v>2</v>
      </c>
      <c r="D39" s="44">
        <v>0</v>
      </c>
      <c r="E39" s="45">
        <v>1</v>
      </c>
      <c r="F39" s="44">
        <v>0</v>
      </c>
      <c r="G39" s="45">
        <v>0</v>
      </c>
      <c r="H39" s="44">
        <v>0</v>
      </c>
      <c r="I39" s="45">
        <v>0</v>
      </c>
      <c r="J39" s="44">
        <v>0</v>
      </c>
      <c r="K39" s="45">
        <v>1</v>
      </c>
      <c r="L39" s="44">
        <v>2</v>
      </c>
      <c r="M39" s="45">
        <v>0</v>
      </c>
      <c r="N39" s="44">
        <v>0</v>
      </c>
      <c r="O39" s="45">
        <v>0</v>
      </c>
      <c r="P39" s="44">
        <f t="shared" si="3"/>
        <v>6</v>
      </c>
      <c r="Q39" s="45">
        <f t="shared" si="3"/>
        <v>4</v>
      </c>
      <c r="R39" s="46">
        <f>Q39+P39</f>
        <v>10</v>
      </c>
    </row>
    <row r="40" spans="1:18" s="2" customFormat="1" ht="12.75" customHeight="1">
      <c r="A40" s="52" t="s">
        <v>49</v>
      </c>
      <c r="B40" s="44">
        <v>3</v>
      </c>
      <c r="C40" s="45">
        <v>1</v>
      </c>
      <c r="D40" s="44">
        <v>0</v>
      </c>
      <c r="E40" s="45">
        <v>1</v>
      </c>
      <c r="F40" s="44">
        <v>0</v>
      </c>
      <c r="G40" s="45">
        <v>0</v>
      </c>
      <c r="H40" s="44">
        <v>0</v>
      </c>
      <c r="I40" s="45">
        <v>0</v>
      </c>
      <c r="J40" s="44">
        <v>0</v>
      </c>
      <c r="K40" s="45">
        <v>0</v>
      </c>
      <c r="L40" s="44">
        <v>0</v>
      </c>
      <c r="M40" s="45">
        <v>1</v>
      </c>
      <c r="N40" s="44">
        <v>1</v>
      </c>
      <c r="O40" s="45">
        <v>1</v>
      </c>
      <c r="P40" s="44">
        <f t="shared" si="3"/>
        <v>4</v>
      </c>
      <c r="Q40" s="45">
        <f t="shared" si="3"/>
        <v>4</v>
      </c>
      <c r="R40" s="46">
        <f>Q40+P40</f>
        <v>8</v>
      </c>
    </row>
    <row r="41" spans="1:18" s="2" customFormat="1" ht="12.75" customHeight="1">
      <c r="A41" s="52" t="s">
        <v>58</v>
      </c>
      <c r="B41" s="44">
        <v>2</v>
      </c>
      <c r="C41" s="45">
        <v>0</v>
      </c>
      <c r="D41" s="44">
        <v>1</v>
      </c>
      <c r="E41" s="45">
        <v>0</v>
      </c>
      <c r="F41" s="44">
        <v>0</v>
      </c>
      <c r="G41" s="45">
        <v>0</v>
      </c>
      <c r="H41" s="44">
        <v>0</v>
      </c>
      <c r="I41" s="45">
        <v>1</v>
      </c>
      <c r="J41" s="44">
        <v>0</v>
      </c>
      <c r="K41" s="45">
        <v>0</v>
      </c>
      <c r="L41" s="44">
        <v>3</v>
      </c>
      <c r="M41" s="45">
        <v>2</v>
      </c>
      <c r="N41" s="44">
        <v>0</v>
      </c>
      <c r="O41" s="45">
        <v>0</v>
      </c>
      <c r="P41" s="44">
        <f t="shared" si="3"/>
        <v>6</v>
      </c>
      <c r="Q41" s="45">
        <f t="shared" si="3"/>
        <v>3</v>
      </c>
      <c r="R41" s="46">
        <f>Q41+P41</f>
        <v>9</v>
      </c>
    </row>
    <row r="42" spans="1:18" s="2" customFormat="1" ht="12.75" customHeight="1">
      <c r="A42" s="52" t="s">
        <v>60</v>
      </c>
      <c r="B42" s="44">
        <v>1</v>
      </c>
      <c r="C42" s="45">
        <v>1</v>
      </c>
      <c r="D42" s="44">
        <v>1</v>
      </c>
      <c r="E42" s="45">
        <v>0</v>
      </c>
      <c r="F42" s="44">
        <v>0</v>
      </c>
      <c r="G42" s="45">
        <v>0</v>
      </c>
      <c r="H42" s="44">
        <v>0</v>
      </c>
      <c r="I42" s="45">
        <v>1</v>
      </c>
      <c r="J42" s="44">
        <v>0</v>
      </c>
      <c r="K42" s="45">
        <v>0</v>
      </c>
      <c r="L42" s="44">
        <v>0</v>
      </c>
      <c r="M42" s="45">
        <v>3</v>
      </c>
      <c r="N42" s="44">
        <v>0</v>
      </c>
      <c r="O42" s="45">
        <v>0</v>
      </c>
      <c r="P42" s="44">
        <f t="shared" si="3"/>
        <v>2</v>
      </c>
      <c r="Q42" s="45">
        <f t="shared" si="3"/>
        <v>5</v>
      </c>
      <c r="R42" s="46">
        <f>Q42+P42</f>
        <v>7</v>
      </c>
    </row>
    <row r="43" spans="2:18" ht="9.75" customHeight="1">
      <c r="B43" s="11"/>
      <c r="C43" s="12"/>
      <c r="D43" s="11"/>
      <c r="E43" s="12"/>
      <c r="F43" s="11"/>
      <c r="G43" s="12"/>
      <c r="H43" s="11"/>
      <c r="I43" s="12"/>
      <c r="J43" s="11"/>
      <c r="K43" s="12"/>
      <c r="L43" s="11"/>
      <c r="M43" s="12"/>
      <c r="N43" s="11"/>
      <c r="O43" s="12"/>
      <c r="P43" s="11"/>
      <c r="Q43" s="12"/>
      <c r="R43" s="13"/>
    </row>
    <row r="44" spans="1:15" ht="12.75" customHeight="1">
      <c r="A44" s="28"/>
      <c r="B44"/>
      <c r="C44"/>
      <c r="D44"/>
      <c r="E44"/>
      <c r="F44"/>
      <c r="G44"/>
      <c r="H44"/>
      <c r="I44"/>
      <c r="J44"/>
      <c r="K44"/>
      <c r="L44"/>
      <c r="M44"/>
      <c r="N44"/>
      <c r="O44"/>
    </row>
    <row r="45" ht="12.75" customHeight="1">
      <c r="A45" s="38"/>
    </row>
    <row r="48" ht="12.75" customHeight="1">
      <c r="A48" s="38"/>
    </row>
    <row r="81" spans="1:16" s="2" customFormat="1" ht="12.75" customHeight="1">
      <c r="A81" s="27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</row>
    <row r="91" spans="1:16" s="2" customFormat="1" ht="12.75" customHeight="1">
      <c r="A91" s="27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</row>
    <row r="131" spans="1:16" s="2" customFormat="1" ht="12.75" customHeight="1">
      <c r="A131" s="27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</row>
    <row r="141" spans="1:16" s="2" customFormat="1" ht="12.75" customHeight="1">
      <c r="A141" s="27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</row>
    <row r="163" spans="1:16" s="2" customFormat="1" ht="12.75" customHeight="1">
      <c r="A163" s="27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</row>
    <row r="184" spans="1:16" s="2" customFormat="1" ht="12.75" customHeight="1">
      <c r="A184" s="27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</row>
    <row r="205" spans="1:16" s="2" customFormat="1" ht="12.75" customHeight="1">
      <c r="A205" s="27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</row>
    <row r="246" spans="1:16" s="2" customFormat="1" ht="12.75" customHeight="1">
      <c r="A246" s="27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</row>
    <row r="256" spans="1:16" s="2" customFormat="1" ht="12.75" customHeight="1">
      <c r="A256" s="27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</row>
    <row r="267" spans="1:16" s="2" customFormat="1" ht="12.75" customHeight="1">
      <c r="A267" s="27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</row>
    <row r="280" spans="1:16" s="2" customFormat="1" ht="12.75" customHeight="1">
      <c r="A280" s="27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</row>
    <row r="321" spans="1:16" s="2" customFormat="1" ht="12.75" customHeight="1">
      <c r="A321" s="27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</row>
  </sheetData>
  <mergeCells count="4">
    <mergeCell ref="L35:M35"/>
    <mergeCell ref="L24:M24"/>
    <mergeCell ref="L13:M13"/>
    <mergeCell ref="L3:M3"/>
  </mergeCells>
  <printOptions/>
  <pageMargins left="1" right="0.25" top="1" bottom="0.75" header="0.5" footer="0.25"/>
  <pageSetup fitToHeight="1" fitToWidth="1" horizontalDpi="300" verticalDpi="300" orientation="landscape" scale="86" r:id="rId3"/>
  <headerFooter alignWithMargins="0">
    <oddHeader>&amp;CThe University of Alabama in Huntsville
Unit Academic Reports 
</oddHeader>
    <oddFooter>&amp;L&amp;8Office of Institutional Research
&amp;D (np)
&amp;F</oddFoot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7"/>
  <sheetViews>
    <sheetView workbookViewId="0" topLeftCell="A1">
      <selection activeCell="A2" sqref="A2"/>
    </sheetView>
  </sheetViews>
  <sheetFormatPr defaultColWidth="9.140625" defaultRowHeight="12.75" customHeight="1"/>
  <cols>
    <col min="1" max="1" width="25.7109375" style="27" customWidth="1"/>
    <col min="2" max="8" width="14.7109375" style="3" customWidth="1"/>
    <col min="9" max="16384" width="9.140625" style="3" customWidth="1"/>
  </cols>
  <sheetData>
    <row r="1" ht="12.75" customHeight="1">
      <c r="A1" s="1" t="s">
        <v>26</v>
      </c>
    </row>
    <row r="2" spans="6:8" ht="12.75" customHeight="1">
      <c r="F2"/>
      <c r="G2"/>
      <c r="H2"/>
    </row>
    <row r="3" spans="1:8" ht="12.75" customHeight="1">
      <c r="A3" s="7" t="s">
        <v>17</v>
      </c>
      <c r="F3"/>
      <c r="G3"/>
      <c r="H3"/>
    </row>
    <row r="4" spans="1:7" s="27" customFormat="1" ht="12.75" customHeight="1">
      <c r="A4" s="7" t="s">
        <v>12</v>
      </c>
      <c r="B4" s="37" t="s">
        <v>16</v>
      </c>
      <c r="C4" s="37" t="s">
        <v>14</v>
      </c>
      <c r="D4" s="37" t="s">
        <v>15</v>
      </c>
      <c r="E4" s="28"/>
      <c r="F4" s="28"/>
      <c r="G4" s="28"/>
    </row>
    <row r="5" spans="2:7" ht="12.75" customHeight="1">
      <c r="B5" s="10"/>
      <c r="C5" s="10"/>
      <c r="D5" s="10"/>
      <c r="E5"/>
      <c r="F5"/>
      <c r="G5"/>
    </row>
    <row r="6" spans="1:7" s="2" customFormat="1" ht="12.75" customHeight="1">
      <c r="A6" s="7" t="s">
        <v>43</v>
      </c>
      <c r="B6" s="16">
        <v>26</v>
      </c>
      <c r="C6" s="16">
        <f>'CH'!R27</f>
        <v>70</v>
      </c>
      <c r="D6" s="16">
        <v>68</v>
      </c>
      <c r="E6" s="25"/>
      <c r="F6" s="25"/>
      <c r="G6" s="25"/>
    </row>
    <row r="7" spans="1:7" s="2" customFormat="1" ht="12.75" customHeight="1">
      <c r="A7" s="52" t="s">
        <v>46</v>
      </c>
      <c r="B7" s="16">
        <v>31</v>
      </c>
      <c r="C7" s="16">
        <f>'CH'!R28</f>
        <v>71</v>
      </c>
      <c r="D7" s="16">
        <v>73</v>
      </c>
      <c r="E7" s="25"/>
      <c r="F7" s="25"/>
      <c r="G7" s="25"/>
    </row>
    <row r="8" spans="1:7" s="2" customFormat="1" ht="12.75" customHeight="1">
      <c r="A8" s="52" t="s">
        <v>49</v>
      </c>
      <c r="B8" s="16">
        <v>34</v>
      </c>
      <c r="C8" s="16">
        <f>'CH'!R29</f>
        <v>82</v>
      </c>
      <c r="D8" s="16">
        <v>76</v>
      </c>
      <c r="E8" s="25"/>
      <c r="F8" s="25"/>
      <c r="G8" s="25"/>
    </row>
    <row r="9" spans="1:7" s="2" customFormat="1" ht="12.75" customHeight="1">
      <c r="A9" s="52" t="s">
        <v>58</v>
      </c>
      <c r="B9" s="16">
        <v>40</v>
      </c>
      <c r="C9" s="16">
        <f>'CH'!R30</f>
        <v>86</v>
      </c>
      <c r="D9" s="16">
        <v>93</v>
      </c>
      <c r="E9" s="25"/>
      <c r="F9" s="25"/>
      <c r="G9" s="25"/>
    </row>
    <row r="10" spans="1:7" s="2" customFormat="1" ht="12.75" customHeight="1">
      <c r="A10" s="52" t="s">
        <v>60</v>
      </c>
      <c r="B10" s="16">
        <v>49</v>
      </c>
      <c r="C10" s="16">
        <f>'CH'!R31</f>
        <v>93</v>
      </c>
      <c r="D10" s="16">
        <v>82</v>
      </c>
      <c r="E10" s="25"/>
      <c r="F10" s="25"/>
      <c r="G10" s="25"/>
    </row>
    <row r="11" spans="1:7" ht="12.75" customHeight="1">
      <c r="A11" s="7"/>
      <c r="B11" s="9"/>
      <c r="C11" s="9"/>
      <c r="D11" s="9"/>
      <c r="E11"/>
      <c r="F11"/>
      <c r="G11"/>
    </row>
    <row r="13" ht="12.75" customHeight="1">
      <c r="A13" s="7" t="s">
        <v>11</v>
      </c>
    </row>
    <row r="14" spans="1:4" s="38" customFormat="1" ht="12.75" customHeight="1">
      <c r="A14" s="26" t="s">
        <v>12</v>
      </c>
      <c r="B14" s="37" t="s">
        <v>16</v>
      </c>
      <c r="C14" s="37" t="s">
        <v>14</v>
      </c>
      <c r="D14" s="37" t="s">
        <v>15</v>
      </c>
    </row>
    <row r="15" spans="2:4" ht="12.75" customHeight="1">
      <c r="B15" s="10"/>
      <c r="C15" s="10"/>
      <c r="D15" s="10"/>
    </row>
    <row r="16" spans="1:4" s="2" customFormat="1" ht="12.75" customHeight="1">
      <c r="A16" s="7" t="s">
        <v>43</v>
      </c>
      <c r="B16" s="16">
        <v>7</v>
      </c>
      <c r="C16" s="16">
        <f>'CH'!R38</f>
        <v>11</v>
      </c>
      <c r="D16" s="16">
        <v>12</v>
      </c>
    </row>
    <row r="17" spans="1:4" s="2" customFormat="1" ht="12.75" customHeight="1">
      <c r="A17" s="52" t="s">
        <v>46</v>
      </c>
      <c r="B17" s="16">
        <v>9</v>
      </c>
      <c r="C17" s="16">
        <f>'CH'!R39</f>
        <v>10</v>
      </c>
      <c r="D17" s="16">
        <v>10</v>
      </c>
    </row>
    <row r="18" spans="1:4" s="2" customFormat="1" ht="12.75" customHeight="1">
      <c r="A18" s="52" t="s">
        <v>49</v>
      </c>
      <c r="B18" s="16">
        <v>8</v>
      </c>
      <c r="C18" s="16">
        <f>'CH'!R40</f>
        <v>8</v>
      </c>
      <c r="D18" s="16">
        <v>9</v>
      </c>
    </row>
    <row r="19" spans="1:4" s="2" customFormat="1" ht="12.75" customHeight="1">
      <c r="A19" s="52" t="s">
        <v>58</v>
      </c>
      <c r="B19" s="16">
        <v>8</v>
      </c>
      <c r="C19" s="16">
        <f>'CH'!R41</f>
        <v>9</v>
      </c>
      <c r="D19" s="16">
        <v>8</v>
      </c>
    </row>
    <row r="20" spans="1:4" s="2" customFormat="1" ht="12.75" customHeight="1">
      <c r="A20" s="52" t="s">
        <v>60</v>
      </c>
      <c r="B20" s="16">
        <v>3</v>
      </c>
      <c r="C20" s="16">
        <f>'CH'!R42</f>
        <v>7</v>
      </c>
      <c r="D20" s="16">
        <v>6</v>
      </c>
    </row>
    <row r="21" spans="1:7" ht="12.75" customHeight="1">
      <c r="A21" s="7"/>
      <c r="B21" s="9"/>
      <c r="C21" s="9"/>
      <c r="D21" s="9"/>
      <c r="E21"/>
      <c r="F21"/>
      <c r="G21"/>
    </row>
    <row r="23" spans="1:8" s="38" customFormat="1" ht="12.75" customHeight="1">
      <c r="A23" s="26" t="s">
        <v>48</v>
      </c>
      <c r="B23" s="40" t="s">
        <v>17</v>
      </c>
      <c r="C23" s="40" t="s">
        <v>17</v>
      </c>
      <c r="D23" s="40" t="s">
        <v>7</v>
      </c>
      <c r="E23" s="40" t="s">
        <v>11</v>
      </c>
      <c r="F23" s="40" t="s">
        <v>11</v>
      </c>
      <c r="G23" s="41" t="s">
        <v>7</v>
      </c>
      <c r="H23" s="41" t="s">
        <v>8</v>
      </c>
    </row>
    <row r="24" spans="1:8" s="38" customFormat="1" ht="12.75" customHeight="1">
      <c r="A24" s="26"/>
      <c r="B24" s="42" t="s">
        <v>18</v>
      </c>
      <c r="C24" s="43" t="s">
        <v>19</v>
      </c>
      <c r="D24" s="17" t="s">
        <v>35</v>
      </c>
      <c r="E24" s="42" t="s">
        <v>20</v>
      </c>
      <c r="F24" s="42" t="s">
        <v>21</v>
      </c>
      <c r="G24" s="43" t="s">
        <v>11</v>
      </c>
      <c r="H24" s="43" t="s">
        <v>7</v>
      </c>
    </row>
    <row r="25" spans="2:8" ht="12.75" customHeight="1">
      <c r="B25" s="4"/>
      <c r="C25" s="4"/>
      <c r="D25" s="4"/>
      <c r="E25" s="4"/>
      <c r="F25" s="4"/>
      <c r="G25" s="4"/>
      <c r="H25" s="10"/>
    </row>
    <row r="26" spans="1:8" ht="12.75" customHeight="1">
      <c r="A26" s="7" t="s">
        <v>43</v>
      </c>
      <c r="B26" s="50">
        <v>5453</v>
      </c>
      <c r="C26" s="50">
        <v>1204</v>
      </c>
      <c r="D26" s="50">
        <f>C26+B26</f>
        <v>6657</v>
      </c>
      <c r="E26" s="50">
        <v>244</v>
      </c>
      <c r="F26" s="50">
        <v>56</v>
      </c>
      <c r="G26" s="50">
        <f>F26+E26</f>
        <v>300</v>
      </c>
      <c r="H26" s="51">
        <f>G26+D26</f>
        <v>6957</v>
      </c>
    </row>
    <row r="27" spans="1:8" ht="12.75" customHeight="1">
      <c r="A27" s="52" t="s">
        <v>46</v>
      </c>
      <c r="B27" s="50">
        <f>516+2707+2595</f>
        <v>5818</v>
      </c>
      <c r="C27" s="50">
        <f>145+722+539</f>
        <v>1406</v>
      </c>
      <c r="D27" s="50">
        <f>C27+B27</f>
        <v>7224</v>
      </c>
      <c r="E27" s="50">
        <f>30+137+86</f>
        <v>253</v>
      </c>
      <c r="F27" s="50">
        <f>6+18+28</f>
        <v>52</v>
      </c>
      <c r="G27" s="50">
        <f>F27+E27</f>
        <v>305</v>
      </c>
      <c r="H27" s="51">
        <f>G27+D27</f>
        <v>7529</v>
      </c>
    </row>
    <row r="28" spans="1:8" ht="12.75" customHeight="1">
      <c r="A28" s="52" t="s">
        <v>49</v>
      </c>
      <c r="B28" s="50">
        <f>452+2616+2375</f>
        <v>5443</v>
      </c>
      <c r="C28" s="50">
        <f>184+719+510</f>
        <v>1413</v>
      </c>
      <c r="D28" s="50">
        <f>C28+B28</f>
        <v>6856</v>
      </c>
      <c r="E28" s="50">
        <f>36+84+84</f>
        <v>204</v>
      </c>
      <c r="F28" s="50">
        <f>3+24+8</f>
        <v>35</v>
      </c>
      <c r="G28" s="50">
        <f>F28+E28</f>
        <v>239</v>
      </c>
      <c r="H28" s="51">
        <f>G28+D28</f>
        <v>7095</v>
      </c>
    </row>
    <row r="29" spans="1:8" ht="12.75" customHeight="1">
      <c r="A29" s="52" t="s">
        <v>58</v>
      </c>
      <c r="B29" s="50">
        <v>5322</v>
      </c>
      <c r="C29" s="50">
        <v>1510</v>
      </c>
      <c r="D29" s="50">
        <f>C29+B29</f>
        <v>6832</v>
      </c>
      <c r="E29" s="50">
        <v>250</v>
      </c>
      <c r="F29" s="50">
        <v>44</v>
      </c>
      <c r="G29" s="50">
        <f>F29+E29</f>
        <v>294</v>
      </c>
      <c r="H29" s="51">
        <f>G29+D29</f>
        <v>7126</v>
      </c>
    </row>
    <row r="30" spans="1:8" ht="12.75" customHeight="1">
      <c r="A30" s="52" t="s">
        <v>60</v>
      </c>
      <c r="B30" s="50">
        <v>5658</v>
      </c>
      <c r="C30" s="50">
        <v>1644</v>
      </c>
      <c r="D30" s="50">
        <f>C30+B30</f>
        <v>7302</v>
      </c>
      <c r="E30" s="50">
        <v>186</v>
      </c>
      <c r="F30" s="50">
        <v>52</v>
      </c>
      <c r="G30" s="50">
        <f>F30+E30</f>
        <v>238</v>
      </c>
      <c r="H30" s="51">
        <f>G30+D30</f>
        <v>7540</v>
      </c>
    </row>
    <row r="31" spans="1:8" ht="12.75" customHeight="1">
      <c r="A31" s="28"/>
      <c r="B31" s="11"/>
      <c r="C31" s="11"/>
      <c r="D31" s="11"/>
      <c r="E31" s="11"/>
      <c r="F31" s="11"/>
      <c r="G31" s="11"/>
      <c r="H31" s="13"/>
    </row>
    <row r="32" spans="1:8" ht="12.75" customHeight="1">
      <c r="A32" s="28"/>
      <c r="B32"/>
      <c r="C32"/>
      <c r="D32"/>
      <c r="E32"/>
      <c r="F32" s="2"/>
      <c r="G32" s="2"/>
      <c r="H32" s="2"/>
    </row>
    <row r="33" spans="1:8" s="38" customFormat="1" ht="12.75" customHeight="1">
      <c r="A33" s="26" t="s">
        <v>47</v>
      </c>
      <c r="B33" s="40" t="s">
        <v>17</v>
      </c>
      <c r="C33" s="40" t="s">
        <v>17</v>
      </c>
      <c r="D33" s="40" t="s">
        <v>7</v>
      </c>
      <c r="E33" s="40" t="s">
        <v>11</v>
      </c>
      <c r="F33" s="40" t="s">
        <v>22</v>
      </c>
      <c r="G33" s="40" t="s">
        <v>23</v>
      </c>
      <c r="H33" s="41" t="s">
        <v>8</v>
      </c>
    </row>
    <row r="34" spans="2:8" s="38" customFormat="1" ht="12.75" customHeight="1">
      <c r="B34" s="42" t="s">
        <v>18</v>
      </c>
      <c r="C34" s="42" t="s">
        <v>19</v>
      </c>
      <c r="D34" s="42" t="s">
        <v>17</v>
      </c>
      <c r="E34" s="42" t="s">
        <v>20</v>
      </c>
      <c r="F34" s="42" t="s">
        <v>21</v>
      </c>
      <c r="G34" s="42" t="s">
        <v>11</v>
      </c>
      <c r="H34" s="43" t="s">
        <v>7</v>
      </c>
    </row>
    <row r="35" spans="2:8" ht="12.75" customHeight="1">
      <c r="B35" s="14"/>
      <c r="C35" s="14"/>
      <c r="D35" s="14"/>
      <c r="E35" s="14"/>
      <c r="F35" s="14"/>
      <c r="G35" s="14"/>
      <c r="H35" s="16"/>
    </row>
    <row r="36" spans="1:8" ht="12.75" customHeight="1">
      <c r="A36" s="7" t="s">
        <v>43</v>
      </c>
      <c r="B36" s="23">
        <f>SUM(B26*1.1)</f>
        <v>5998.3</v>
      </c>
      <c r="C36" s="23">
        <f>SUM(C26*1.48)</f>
        <v>1781.92</v>
      </c>
      <c r="D36" s="23">
        <f>C36+B36</f>
        <v>7780.22</v>
      </c>
      <c r="E36" s="23">
        <f>SUM(E26*5.36)</f>
        <v>1307.8400000000001</v>
      </c>
      <c r="F36" s="23">
        <f>SUM(F26*17.6)</f>
        <v>985.6000000000001</v>
      </c>
      <c r="G36" s="23">
        <f>F36+E36</f>
        <v>2293.4400000000005</v>
      </c>
      <c r="H36" s="24">
        <f>G36+D36</f>
        <v>10073.66</v>
      </c>
    </row>
    <row r="37" spans="1:8" ht="12.75" customHeight="1">
      <c r="A37" s="52" t="s">
        <v>46</v>
      </c>
      <c r="B37" s="23">
        <f>SUM(B27*1.1)</f>
        <v>6399.8</v>
      </c>
      <c r="C37" s="23">
        <f>SUM(C27*1.48)</f>
        <v>2080.88</v>
      </c>
      <c r="D37" s="23">
        <f>C37+B37</f>
        <v>8480.68</v>
      </c>
      <c r="E37" s="23">
        <f>SUM(E27*5.36)</f>
        <v>1356.0800000000002</v>
      </c>
      <c r="F37" s="23">
        <f>SUM(F27*17.6)</f>
        <v>915.2</v>
      </c>
      <c r="G37" s="23">
        <f>F37+E37</f>
        <v>2271.28</v>
      </c>
      <c r="H37" s="24">
        <f>G37+D37</f>
        <v>10751.960000000001</v>
      </c>
    </row>
    <row r="38" spans="1:8" ht="12.75" customHeight="1">
      <c r="A38" s="52" t="s">
        <v>49</v>
      </c>
      <c r="B38" s="23">
        <f>SUM(B28*1.1)</f>
        <v>5987.3</v>
      </c>
      <c r="C38" s="23">
        <f>SUM(C28*1.48)</f>
        <v>2091.24</v>
      </c>
      <c r="D38" s="23">
        <f>C38+B38</f>
        <v>8078.54</v>
      </c>
      <c r="E38" s="23">
        <f>SUM(E28*5.36)</f>
        <v>1093.44</v>
      </c>
      <c r="F38" s="23">
        <f>SUM(F28*17.6)</f>
        <v>616</v>
      </c>
      <c r="G38" s="23">
        <f>F38+E38</f>
        <v>1709.44</v>
      </c>
      <c r="H38" s="24">
        <f>G38+D38</f>
        <v>9787.98</v>
      </c>
    </row>
    <row r="39" spans="1:8" ht="12.75" customHeight="1">
      <c r="A39" s="52" t="s">
        <v>58</v>
      </c>
      <c r="B39" s="23">
        <f>SUM(B29*1.1)</f>
        <v>5854.200000000001</v>
      </c>
      <c r="C39" s="23">
        <f>SUM(C29*1.48)</f>
        <v>2234.8</v>
      </c>
      <c r="D39" s="23">
        <f>C39+B39</f>
        <v>8089.000000000001</v>
      </c>
      <c r="E39" s="23">
        <f>SUM(E29*5.36)</f>
        <v>1340</v>
      </c>
      <c r="F39" s="23">
        <f>SUM(F29*17.6)</f>
        <v>774.4000000000001</v>
      </c>
      <c r="G39" s="23">
        <f>F39+E39</f>
        <v>2114.4</v>
      </c>
      <c r="H39" s="24">
        <f>G39+D39</f>
        <v>10203.400000000001</v>
      </c>
    </row>
    <row r="40" spans="1:8" ht="12.75" customHeight="1">
      <c r="A40" s="52" t="s">
        <v>60</v>
      </c>
      <c r="B40" s="23">
        <f>SUM(B30*1.1)</f>
        <v>6223.8</v>
      </c>
      <c r="C40" s="23">
        <f>SUM(C30*1.48)</f>
        <v>2433.12</v>
      </c>
      <c r="D40" s="23">
        <f>C40+B40</f>
        <v>8656.92</v>
      </c>
      <c r="E40" s="23">
        <f>SUM(E30*5.36)</f>
        <v>996.96</v>
      </c>
      <c r="F40" s="23">
        <f>SUM(F30*17.6)</f>
        <v>915.2</v>
      </c>
      <c r="G40" s="23">
        <f>F40+E40</f>
        <v>1912.16</v>
      </c>
      <c r="H40" s="24">
        <f>G40+D40</f>
        <v>10569.08</v>
      </c>
    </row>
    <row r="41" spans="1:8" ht="12.75" customHeight="1">
      <c r="A41" s="28"/>
      <c r="B41" s="11"/>
      <c r="C41" s="11"/>
      <c r="D41" s="11"/>
      <c r="E41" s="11"/>
      <c r="F41" s="11"/>
      <c r="G41" s="11"/>
      <c r="H41" s="13"/>
    </row>
    <row r="43" ht="12.75" customHeight="1">
      <c r="A43" s="27" t="s">
        <v>50</v>
      </c>
    </row>
    <row r="51" spans="1:9" s="2" customFormat="1" ht="12.75" customHeight="1">
      <c r="A51" s="27"/>
      <c r="B51" s="3"/>
      <c r="C51" s="3"/>
      <c r="D51" s="3"/>
      <c r="E51" s="3"/>
      <c r="F51" s="3"/>
      <c r="G51" s="3"/>
      <c r="H51" s="3"/>
      <c r="I51" s="3"/>
    </row>
    <row r="117" spans="1:9" s="2" customFormat="1" ht="12.75" customHeight="1">
      <c r="A117" s="27"/>
      <c r="B117" s="3"/>
      <c r="C117" s="3"/>
      <c r="D117" s="3"/>
      <c r="E117" s="3"/>
      <c r="F117" s="3"/>
      <c r="G117" s="3"/>
      <c r="H117" s="3"/>
      <c r="I117" s="3"/>
    </row>
    <row r="127" spans="1:9" s="2" customFormat="1" ht="12.75" customHeight="1">
      <c r="A127" s="27"/>
      <c r="B127" s="3"/>
      <c r="C127" s="3"/>
      <c r="D127" s="3"/>
      <c r="E127" s="3"/>
      <c r="F127" s="3"/>
      <c r="G127" s="3"/>
      <c r="H127" s="3"/>
      <c r="I127" s="3"/>
    </row>
    <row r="192" spans="1:9" s="2" customFormat="1" ht="12.75" customHeight="1">
      <c r="A192" s="27"/>
      <c r="B192" s="3"/>
      <c r="C192" s="3"/>
      <c r="D192" s="3"/>
      <c r="E192" s="3"/>
      <c r="F192" s="3"/>
      <c r="G192" s="3"/>
      <c r="H192" s="3"/>
      <c r="I192" s="3"/>
    </row>
    <row r="225" spans="1:9" s="2" customFormat="1" ht="12.75" customHeight="1">
      <c r="A225" s="27"/>
      <c r="B225" s="3"/>
      <c r="C225" s="3"/>
      <c r="D225" s="3"/>
      <c r="E225" s="3"/>
      <c r="F225" s="3"/>
      <c r="G225" s="3"/>
      <c r="H225" s="3"/>
      <c r="I225" s="3"/>
    </row>
    <row r="256" spans="1:9" s="2" customFormat="1" ht="12.75" customHeight="1">
      <c r="A256" s="27"/>
      <c r="B256" s="3"/>
      <c r="C256" s="3"/>
      <c r="D256" s="3"/>
      <c r="E256" s="3"/>
      <c r="F256" s="3"/>
      <c r="G256" s="3"/>
      <c r="H256" s="3"/>
      <c r="I256" s="3"/>
    </row>
    <row r="265" spans="1:9" s="2" customFormat="1" ht="12.75" customHeight="1">
      <c r="A265" s="27"/>
      <c r="B265" s="3"/>
      <c r="C265" s="3"/>
      <c r="D265" s="3"/>
      <c r="E265" s="3"/>
      <c r="F265" s="3"/>
      <c r="G265" s="3"/>
      <c r="H265" s="3"/>
      <c r="I265" s="3"/>
    </row>
    <row r="296" spans="1:9" s="2" customFormat="1" ht="12.75" customHeight="1">
      <c r="A296" s="27"/>
      <c r="B296" s="3"/>
      <c r="C296" s="3"/>
      <c r="D296" s="3"/>
      <c r="E296" s="3"/>
      <c r="F296" s="3"/>
      <c r="G296" s="3"/>
      <c r="H296" s="3"/>
      <c r="I296" s="3"/>
    </row>
    <row r="300" ht="12.75" customHeight="1"/>
    <row r="317" spans="1:9" s="2" customFormat="1" ht="12.75" customHeight="1">
      <c r="A317" s="27"/>
      <c r="B317" s="3"/>
      <c r="C317" s="3"/>
      <c r="D317" s="3"/>
      <c r="E317" s="3"/>
      <c r="F317" s="3"/>
      <c r="G317" s="3"/>
      <c r="H317" s="3"/>
      <c r="I317" s="3"/>
    </row>
  </sheetData>
  <printOptions/>
  <pageMargins left="1" right="0.25" top="1" bottom="0.75" header="0.5" footer="0.25"/>
  <pageSetup fitToHeight="1" fitToWidth="1" horizontalDpi="300" verticalDpi="300" orientation="landscape" scale="91" r:id="rId1"/>
  <headerFooter alignWithMargins="0">
    <oddHeader>&amp;CThe University of Alabama in Huntsville
Unit Academic Reports 
</oddHeader>
    <oddFooter>&amp;L&amp;8Office of Institutional Research
&amp;D (np)
&amp;F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80"/>
  <sheetViews>
    <sheetView workbookViewId="0" topLeftCell="A1">
      <selection activeCell="A2" sqref="A2"/>
    </sheetView>
  </sheetViews>
  <sheetFormatPr defaultColWidth="9.140625" defaultRowHeight="10.5" customHeight="1"/>
  <cols>
    <col min="1" max="1" width="18.7109375" style="3" customWidth="1"/>
    <col min="2" max="18" width="7.28125" style="3" customWidth="1"/>
    <col min="19" max="16384" width="9.140625" style="3" customWidth="1"/>
  </cols>
  <sheetData>
    <row r="1" spans="1:16" ht="10.5" customHeight="1">
      <c r="A1" s="1" t="s">
        <v>56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0.5" customHeigh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8" ht="10.5" customHeight="1">
      <c r="A3"/>
      <c r="B3" s="34" t="s">
        <v>1</v>
      </c>
      <c r="C3" s="35"/>
      <c r="D3" s="34" t="s">
        <v>2</v>
      </c>
      <c r="E3" s="35"/>
      <c r="F3" s="34" t="s">
        <v>3</v>
      </c>
      <c r="G3" s="35"/>
      <c r="H3" s="34" t="s">
        <v>4</v>
      </c>
      <c r="I3" s="35"/>
      <c r="J3" s="34" t="s">
        <v>5</v>
      </c>
      <c r="K3" s="35"/>
      <c r="L3" s="34" t="s">
        <v>6</v>
      </c>
      <c r="M3" s="35"/>
      <c r="N3" s="34" t="s">
        <v>40</v>
      </c>
      <c r="O3" s="35"/>
      <c r="P3" s="34" t="s">
        <v>7</v>
      </c>
      <c r="Q3" s="35"/>
      <c r="R3" s="30" t="s">
        <v>8</v>
      </c>
    </row>
    <row r="4" spans="1:18" ht="10.5" customHeight="1">
      <c r="A4" s="7" t="s">
        <v>64</v>
      </c>
      <c r="B4" s="31" t="s">
        <v>9</v>
      </c>
      <c r="C4" s="32" t="s">
        <v>10</v>
      </c>
      <c r="D4" s="31" t="s">
        <v>9</v>
      </c>
      <c r="E4" s="32" t="s">
        <v>10</v>
      </c>
      <c r="F4" s="31" t="s">
        <v>9</v>
      </c>
      <c r="G4" s="32" t="s">
        <v>10</v>
      </c>
      <c r="H4" s="31" t="s">
        <v>9</v>
      </c>
      <c r="I4" s="32" t="s">
        <v>10</v>
      </c>
      <c r="J4" s="31" t="s">
        <v>9</v>
      </c>
      <c r="K4" s="32" t="s">
        <v>10</v>
      </c>
      <c r="L4" s="31" t="s">
        <v>9</v>
      </c>
      <c r="M4" s="32" t="s">
        <v>10</v>
      </c>
      <c r="N4" s="31" t="s">
        <v>9</v>
      </c>
      <c r="O4" s="32" t="s">
        <v>10</v>
      </c>
      <c r="P4" s="31" t="s">
        <v>9</v>
      </c>
      <c r="Q4" s="32" t="s">
        <v>10</v>
      </c>
      <c r="R4" s="33" t="s">
        <v>7</v>
      </c>
    </row>
    <row r="5" spans="1:18" ht="10.5" customHeight="1">
      <c r="A5"/>
      <c r="B5" s="4"/>
      <c r="C5" s="5"/>
      <c r="D5" s="4"/>
      <c r="E5" s="5"/>
      <c r="F5" s="4"/>
      <c r="G5" s="5"/>
      <c r="H5" s="4"/>
      <c r="I5" s="5"/>
      <c r="J5" s="4"/>
      <c r="K5" s="5"/>
      <c r="L5" s="4"/>
      <c r="M5" s="5"/>
      <c r="N5" s="4"/>
      <c r="O5" s="5"/>
      <c r="P5" s="4"/>
      <c r="Q5" s="5"/>
      <c r="R5" s="10"/>
    </row>
    <row r="6" spans="1:18" ht="10.5" customHeight="1">
      <c r="A6" s="17" t="s">
        <v>43</v>
      </c>
      <c r="B6" s="44">
        <v>23</v>
      </c>
      <c r="C6" s="45">
        <v>4</v>
      </c>
      <c r="D6" s="44">
        <v>3</v>
      </c>
      <c r="E6" s="45">
        <v>0</v>
      </c>
      <c r="F6" s="44">
        <v>2</v>
      </c>
      <c r="G6" s="45">
        <v>0</v>
      </c>
      <c r="H6" s="44">
        <v>1</v>
      </c>
      <c r="I6" s="45">
        <v>0</v>
      </c>
      <c r="J6" s="44">
        <v>0</v>
      </c>
      <c r="K6" s="45">
        <v>0</v>
      </c>
      <c r="L6" s="44">
        <v>3</v>
      </c>
      <c r="M6" s="45">
        <v>0</v>
      </c>
      <c r="N6" s="44">
        <v>0</v>
      </c>
      <c r="O6" s="45">
        <v>0</v>
      </c>
      <c r="P6" s="44">
        <f aca="true" t="shared" si="0" ref="P6:Q10">N6+L6+J6+H6+F6+D6+B6</f>
        <v>32</v>
      </c>
      <c r="Q6" s="45">
        <f t="shared" si="0"/>
        <v>4</v>
      </c>
      <c r="R6" s="46">
        <f>Q6+P6</f>
        <v>36</v>
      </c>
    </row>
    <row r="7" spans="1:18" ht="10.5" customHeight="1">
      <c r="A7" s="52" t="s">
        <v>46</v>
      </c>
      <c r="B7" s="44">
        <v>20</v>
      </c>
      <c r="C7" s="45">
        <v>5</v>
      </c>
      <c r="D7" s="44">
        <v>0</v>
      </c>
      <c r="E7" s="45">
        <v>0</v>
      </c>
      <c r="F7" s="44">
        <v>0</v>
      </c>
      <c r="G7" s="45">
        <v>0</v>
      </c>
      <c r="H7" s="44">
        <v>1</v>
      </c>
      <c r="I7" s="45">
        <v>0</v>
      </c>
      <c r="J7" s="44">
        <v>1</v>
      </c>
      <c r="K7" s="45">
        <v>0</v>
      </c>
      <c r="L7" s="44">
        <v>3</v>
      </c>
      <c r="M7" s="45">
        <v>0</v>
      </c>
      <c r="N7" s="44">
        <v>0</v>
      </c>
      <c r="O7" s="45">
        <v>1</v>
      </c>
      <c r="P7" s="44">
        <f t="shared" si="0"/>
        <v>25</v>
      </c>
      <c r="Q7" s="45">
        <f t="shared" si="0"/>
        <v>6</v>
      </c>
      <c r="R7" s="46">
        <f>Q7+P7</f>
        <v>31</v>
      </c>
    </row>
    <row r="8" spans="1:18" ht="10.5" customHeight="1">
      <c r="A8" s="52" t="s">
        <v>49</v>
      </c>
      <c r="B8" s="44">
        <v>20</v>
      </c>
      <c r="C8" s="45">
        <v>3</v>
      </c>
      <c r="D8" s="44">
        <v>0</v>
      </c>
      <c r="E8" s="45">
        <v>0</v>
      </c>
      <c r="F8" s="44">
        <v>0</v>
      </c>
      <c r="G8" s="45">
        <v>1</v>
      </c>
      <c r="H8" s="44">
        <v>2</v>
      </c>
      <c r="I8" s="45">
        <v>0</v>
      </c>
      <c r="J8" s="44">
        <v>0</v>
      </c>
      <c r="K8" s="45">
        <v>1</v>
      </c>
      <c r="L8" s="44">
        <v>1</v>
      </c>
      <c r="M8" s="45">
        <v>0</v>
      </c>
      <c r="N8" s="44">
        <v>1</v>
      </c>
      <c r="O8" s="45">
        <v>0</v>
      </c>
      <c r="P8" s="44">
        <f t="shared" si="0"/>
        <v>24</v>
      </c>
      <c r="Q8" s="45">
        <f t="shared" si="0"/>
        <v>5</v>
      </c>
      <c r="R8" s="46">
        <f>Q8+P8</f>
        <v>29</v>
      </c>
    </row>
    <row r="9" spans="1:18" ht="10.5" customHeight="1">
      <c r="A9" s="52" t="s">
        <v>58</v>
      </c>
      <c r="B9" s="44">
        <v>27</v>
      </c>
      <c r="C9" s="45">
        <v>5</v>
      </c>
      <c r="D9" s="44">
        <v>2</v>
      </c>
      <c r="E9" s="45">
        <v>0</v>
      </c>
      <c r="F9" s="44">
        <v>0</v>
      </c>
      <c r="G9" s="45">
        <v>0</v>
      </c>
      <c r="H9" s="44">
        <v>0</v>
      </c>
      <c r="I9" s="45">
        <v>0</v>
      </c>
      <c r="J9" s="44">
        <v>0</v>
      </c>
      <c r="K9" s="45">
        <v>0</v>
      </c>
      <c r="L9" s="44">
        <v>0</v>
      </c>
      <c r="M9" s="45">
        <v>0</v>
      </c>
      <c r="N9" s="44">
        <v>0</v>
      </c>
      <c r="O9" s="45">
        <v>0</v>
      </c>
      <c r="P9" s="44">
        <f t="shared" si="0"/>
        <v>29</v>
      </c>
      <c r="Q9" s="45">
        <f t="shared" si="0"/>
        <v>5</v>
      </c>
      <c r="R9" s="46">
        <f>Q9+P9</f>
        <v>34</v>
      </c>
    </row>
    <row r="10" spans="1:18" ht="10.5" customHeight="1">
      <c r="A10" s="52" t="s">
        <v>60</v>
      </c>
      <c r="B10" s="44">
        <v>15</v>
      </c>
      <c r="C10" s="45">
        <v>3</v>
      </c>
      <c r="D10" s="44">
        <v>2</v>
      </c>
      <c r="E10" s="45">
        <v>0</v>
      </c>
      <c r="F10" s="44">
        <v>2</v>
      </c>
      <c r="G10" s="45">
        <v>0</v>
      </c>
      <c r="H10" s="44">
        <v>2</v>
      </c>
      <c r="I10" s="45">
        <v>0</v>
      </c>
      <c r="J10" s="44">
        <v>0</v>
      </c>
      <c r="K10" s="45">
        <v>0</v>
      </c>
      <c r="L10" s="44">
        <v>0</v>
      </c>
      <c r="M10" s="45">
        <v>0</v>
      </c>
      <c r="N10" s="44">
        <v>0</v>
      </c>
      <c r="O10" s="45">
        <v>0</v>
      </c>
      <c r="P10" s="44">
        <f t="shared" si="0"/>
        <v>21</v>
      </c>
      <c r="Q10" s="45">
        <f t="shared" si="0"/>
        <v>3</v>
      </c>
      <c r="R10" s="46">
        <f>Q10+P10</f>
        <v>24</v>
      </c>
    </row>
    <row r="11" spans="2:18" ht="10.5" customHeight="1">
      <c r="B11" s="11"/>
      <c r="C11" s="12"/>
      <c r="D11" s="11"/>
      <c r="E11" s="12"/>
      <c r="F11" s="11"/>
      <c r="G11" s="12"/>
      <c r="H11" s="11"/>
      <c r="I11" s="12"/>
      <c r="J11" s="11"/>
      <c r="K11" s="12"/>
      <c r="L11" s="11"/>
      <c r="M11" s="12"/>
      <c r="N11" s="11"/>
      <c r="O11" s="12"/>
      <c r="P11" s="11"/>
      <c r="Q11" s="12"/>
      <c r="R11" s="13"/>
    </row>
    <row r="13" spans="1:18" ht="10.5" customHeight="1">
      <c r="A13"/>
      <c r="B13" s="34" t="s">
        <v>1</v>
      </c>
      <c r="C13" s="35"/>
      <c r="D13" s="34" t="s">
        <v>2</v>
      </c>
      <c r="E13" s="35"/>
      <c r="F13" s="34" t="s">
        <v>3</v>
      </c>
      <c r="G13" s="35"/>
      <c r="H13" s="34" t="s">
        <v>4</v>
      </c>
      <c r="I13" s="35"/>
      <c r="J13" s="34" t="s">
        <v>5</v>
      </c>
      <c r="K13" s="35"/>
      <c r="L13" s="34" t="s">
        <v>6</v>
      </c>
      <c r="M13" s="35"/>
      <c r="N13" s="34" t="s">
        <v>40</v>
      </c>
      <c r="O13" s="35"/>
      <c r="P13" s="34" t="s">
        <v>7</v>
      </c>
      <c r="Q13" s="35"/>
      <c r="R13" s="30" t="s">
        <v>8</v>
      </c>
    </row>
    <row r="14" spans="1:18" ht="10.5" customHeight="1">
      <c r="A14" s="54" t="s">
        <v>63</v>
      </c>
      <c r="B14" s="31" t="s">
        <v>9</v>
      </c>
      <c r="C14" s="32" t="s">
        <v>10</v>
      </c>
      <c r="D14" s="31" t="s">
        <v>9</v>
      </c>
      <c r="E14" s="32" t="s">
        <v>10</v>
      </c>
      <c r="F14" s="31" t="s">
        <v>9</v>
      </c>
      <c r="G14" s="32" t="s">
        <v>10</v>
      </c>
      <c r="H14" s="31" t="s">
        <v>9</v>
      </c>
      <c r="I14" s="32" t="s">
        <v>10</v>
      </c>
      <c r="J14" s="31" t="s">
        <v>9</v>
      </c>
      <c r="K14" s="32" t="s">
        <v>10</v>
      </c>
      <c r="L14" s="31" t="s">
        <v>9</v>
      </c>
      <c r="M14" s="32" t="s">
        <v>10</v>
      </c>
      <c r="N14" s="31" t="s">
        <v>9</v>
      </c>
      <c r="O14" s="32" t="s">
        <v>10</v>
      </c>
      <c r="P14" s="31" t="s">
        <v>9</v>
      </c>
      <c r="Q14" s="32" t="s">
        <v>10</v>
      </c>
      <c r="R14" s="33" t="s">
        <v>7</v>
      </c>
    </row>
    <row r="15" spans="1:18" ht="10.5" customHeight="1">
      <c r="A15"/>
      <c r="B15" s="4"/>
      <c r="C15" s="5"/>
      <c r="D15" s="4"/>
      <c r="E15" s="5"/>
      <c r="F15" s="4"/>
      <c r="G15" s="5"/>
      <c r="H15" s="4"/>
      <c r="I15" s="5"/>
      <c r="J15" s="4"/>
      <c r="K15" s="5"/>
      <c r="L15" s="4"/>
      <c r="M15" s="5"/>
      <c r="N15" s="4"/>
      <c r="O15" s="5"/>
      <c r="P15" s="4"/>
      <c r="Q15" s="5"/>
      <c r="R15" s="10"/>
    </row>
    <row r="16" spans="1:18" ht="10.5" customHeight="1">
      <c r="A16" s="17" t="s">
        <v>43</v>
      </c>
      <c r="B16" s="44">
        <v>7</v>
      </c>
      <c r="C16" s="45">
        <v>0</v>
      </c>
      <c r="D16" s="44">
        <v>0</v>
      </c>
      <c r="E16" s="45">
        <v>0</v>
      </c>
      <c r="F16" s="44">
        <v>0</v>
      </c>
      <c r="G16" s="45">
        <v>0</v>
      </c>
      <c r="H16" s="44">
        <v>0</v>
      </c>
      <c r="I16" s="45">
        <v>0</v>
      </c>
      <c r="J16" s="44">
        <v>0</v>
      </c>
      <c r="K16" s="45">
        <v>0</v>
      </c>
      <c r="L16" s="44">
        <v>29</v>
      </c>
      <c r="M16" s="45">
        <v>11</v>
      </c>
      <c r="N16" s="44">
        <v>0</v>
      </c>
      <c r="O16" s="45">
        <v>0</v>
      </c>
      <c r="P16" s="44">
        <f aca="true" t="shared" si="1" ref="P16:Q20">N16+L16+J16+H16+F16+D16+B16</f>
        <v>36</v>
      </c>
      <c r="Q16" s="45">
        <f t="shared" si="1"/>
        <v>11</v>
      </c>
      <c r="R16" s="46">
        <f>Q16+P16</f>
        <v>47</v>
      </c>
    </row>
    <row r="17" spans="1:18" ht="10.5" customHeight="1">
      <c r="A17" s="52" t="s">
        <v>46</v>
      </c>
      <c r="B17" s="44">
        <v>4</v>
      </c>
      <c r="C17" s="45">
        <v>1</v>
      </c>
      <c r="D17" s="44">
        <v>0</v>
      </c>
      <c r="E17" s="45">
        <v>0</v>
      </c>
      <c r="F17" s="44">
        <v>0</v>
      </c>
      <c r="G17" s="45">
        <v>0</v>
      </c>
      <c r="H17" s="44">
        <v>1</v>
      </c>
      <c r="I17" s="45">
        <v>0</v>
      </c>
      <c r="J17" s="44">
        <v>0</v>
      </c>
      <c r="K17" s="45">
        <v>0</v>
      </c>
      <c r="L17" s="44">
        <v>20</v>
      </c>
      <c r="M17" s="45">
        <v>4</v>
      </c>
      <c r="N17" s="44">
        <v>1</v>
      </c>
      <c r="O17" s="45">
        <v>2</v>
      </c>
      <c r="P17" s="44">
        <f t="shared" si="1"/>
        <v>26</v>
      </c>
      <c r="Q17" s="45">
        <f t="shared" si="1"/>
        <v>7</v>
      </c>
      <c r="R17" s="46">
        <f>Q17+P17</f>
        <v>33</v>
      </c>
    </row>
    <row r="18" spans="1:18" ht="10.5" customHeight="1">
      <c r="A18" s="52" t="s">
        <v>49</v>
      </c>
      <c r="B18" s="44">
        <v>5</v>
      </c>
      <c r="C18" s="45">
        <v>2</v>
      </c>
      <c r="D18" s="44">
        <v>0</v>
      </c>
      <c r="E18" s="45">
        <v>0</v>
      </c>
      <c r="F18" s="44">
        <v>0</v>
      </c>
      <c r="G18" s="45">
        <v>0</v>
      </c>
      <c r="H18" s="44">
        <v>2</v>
      </c>
      <c r="I18" s="45">
        <v>0</v>
      </c>
      <c r="J18" s="44">
        <v>0</v>
      </c>
      <c r="K18" s="45">
        <v>0</v>
      </c>
      <c r="L18" s="44">
        <v>13</v>
      </c>
      <c r="M18" s="45">
        <v>8</v>
      </c>
      <c r="N18" s="44">
        <v>0</v>
      </c>
      <c r="O18" s="45">
        <v>1</v>
      </c>
      <c r="P18" s="44">
        <f t="shared" si="1"/>
        <v>20</v>
      </c>
      <c r="Q18" s="45">
        <f t="shared" si="1"/>
        <v>11</v>
      </c>
      <c r="R18" s="46">
        <f>Q18+P18</f>
        <v>31</v>
      </c>
    </row>
    <row r="19" spans="1:18" ht="10.5" customHeight="1">
      <c r="A19" s="52" t="s">
        <v>58</v>
      </c>
      <c r="B19" s="44">
        <v>3</v>
      </c>
      <c r="C19" s="45">
        <v>2</v>
      </c>
      <c r="D19" s="44">
        <v>1</v>
      </c>
      <c r="E19" s="45">
        <v>0</v>
      </c>
      <c r="F19" s="44">
        <v>0</v>
      </c>
      <c r="G19" s="45">
        <v>0</v>
      </c>
      <c r="H19" s="44">
        <v>0</v>
      </c>
      <c r="I19" s="45">
        <v>1</v>
      </c>
      <c r="J19" s="44">
        <v>0</v>
      </c>
      <c r="K19" s="45">
        <v>0</v>
      </c>
      <c r="L19" s="44">
        <v>16</v>
      </c>
      <c r="M19" s="45">
        <v>8</v>
      </c>
      <c r="N19" s="44">
        <v>1</v>
      </c>
      <c r="O19" s="45">
        <v>0</v>
      </c>
      <c r="P19" s="44">
        <f t="shared" si="1"/>
        <v>21</v>
      </c>
      <c r="Q19" s="45">
        <f t="shared" si="1"/>
        <v>11</v>
      </c>
      <c r="R19" s="46">
        <f>Q19+P19</f>
        <v>32</v>
      </c>
    </row>
    <row r="20" spans="1:18" ht="10.5" customHeight="1">
      <c r="A20" s="52" t="s">
        <v>60</v>
      </c>
      <c r="B20" s="44">
        <v>12</v>
      </c>
      <c r="C20" s="45">
        <v>0</v>
      </c>
      <c r="D20" s="44">
        <v>0</v>
      </c>
      <c r="E20" s="45">
        <v>0</v>
      </c>
      <c r="F20" s="44">
        <v>0</v>
      </c>
      <c r="G20" s="45">
        <v>0</v>
      </c>
      <c r="H20" s="44">
        <v>1</v>
      </c>
      <c r="I20" s="45">
        <v>0</v>
      </c>
      <c r="J20" s="44">
        <v>0</v>
      </c>
      <c r="K20" s="45">
        <v>0</v>
      </c>
      <c r="L20" s="44">
        <v>24</v>
      </c>
      <c r="M20" s="45">
        <v>14</v>
      </c>
      <c r="N20" s="44">
        <v>1</v>
      </c>
      <c r="O20" s="45">
        <v>0</v>
      </c>
      <c r="P20" s="44">
        <f t="shared" si="1"/>
        <v>38</v>
      </c>
      <c r="Q20" s="45">
        <f t="shared" si="1"/>
        <v>14</v>
      </c>
      <c r="R20" s="46">
        <f>Q20+P20</f>
        <v>52</v>
      </c>
    </row>
    <row r="21" spans="2:18" ht="10.5" customHeight="1">
      <c r="B21" s="11"/>
      <c r="C21" s="12"/>
      <c r="D21" s="11"/>
      <c r="E21" s="12"/>
      <c r="F21" s="11"/>
      <c r="G21" s="12"/>
      <c r="H21" s="11"/>
      <c r="I21" s="12"/>
      <c r="J21" s="11"/>
      <c r="K21" s="12"/>
      <c r="L21" s="11"/>
      <c r="M21" s="12"/>
      <c r="N21" s="11"/>
      <c r="O21" s="12"/>
      <c r="P21" s="11"/>
      <c r="Q21" s="12"/>
      <c r="R21" s="13"/>
    </row>
    <row r="23" spans="1:18" ht="10.5" customHeight="1">
      <c r="A23"/>
      <c r="B23" s="34" t="s">
        <v>1</v>
      </c>
      <c r="C23" s="35"/>
      <c r="D23" s="34" t="s">
        <v>2</v>
      </c>
      <c r="E23" s="35"/>
      <c r="F23" s="34" t="s">
        <v>3</v>
      </c>
      <c r="G23" s="35"/>
      <c r="H23" s="34" t="s">
        <v>4</v>
      </c>
      <c r="I23" s="35"/>
      <c r="J23" s="34" t="s">
        <v>5</v>
      </c>
      <c r="K23" s="35"/>
      <c r="L23" s="34" t="s">
        <v>6</v>
      </c>
      <c r="M23" s="35"/>
      <c r="N23" s="34" t="s">
        <v>40</v>
      </c>
      <c r="O23" s="35"/>
      <c r="P23" s="34" t="s">
        <v>7</v>
      </c>
      <c r="Q23" s="35"/>
      <c r="R23" s="30" t="s">
        <v>8</v>
      </c>
    </row>
    <row r="24" spans="1:18" ht="10.5" customHeight="1">
      <c r="A24" s="7" t="s">
        <v>62</v>
      </c>
      <c r="B24" s="31" t="s">
        <v>9</v>
      </c>
      <c r="C24" s="32" t="s">
        <v>10</v>
      </c>
      <c r="D24" s="31" t="s">
        <v>9</v>
      </c>
      <c r="E24" s="32" t="s">
        <v>10</v>
      </c>
      <c r="F24" s="31" t="s">
        <v>9</v>
      </c>
      <c r="G24" s="32" t="s">
        <v>10</v>
      </c>
      <c r="H24" s="31" t="s">
        <v>9</v>
      </c>
      <c r="I24" s="32" t="s">
        <v>10</v>
      </c>
      <c r="J24" s="31" t="s">
        <v>9</v>
      </c>
      <c r="K24" s="32" t="s">
        <v>10</v>
      </c>
      <c r="L24" s="31" t="s">
        <v>9</v>
      </c>
      <c r="M24" s="32" t="s">
        <v>10</v>
      </c>
      <c r="N24" s="31" t="s">
        <v>9</v>
      </c>
      <c r="O24" s="32" t="s">
        <v>10</v>
      </c>
      <c r="P24" s="31" t="s">
        <v>9</v>
      </c>
      <c r="Q24" s="32" t="s">
        <v>10</v>
      </c>
      <c r="R24" s="33" t="s">
        <v>7</v>
      </c>
    </row>
    <row r="25" spans="1:18" ht="10.5" customHeight="1">
      <c r="A25"/>
      <c r="B25" s="4"/>
      <c r="C25" s="5"/>
      <c r="D25" s="4"/>
      <c r="E25" s="5"/>
      <c r="F25" s="4"/>
      <c r="G25" s="5"/>
      <c r="H25" s="4"/>
      <c r="I25" s="5"/>
      <c r="J25" s="4"/>
      <c r="K25" s="5"/>
      <c r="L25" s="4"/>
      <c r="M25" s="5"/>
      <c r="N25" s="4"/>
      <c r="O25" s="5"/>
      <c r="P25" s="4"/>
      <c r="Q25" s="5"/>
      <c r="R25" s="10"/>
    </row>
    <row r="26" spans="1:18" ht="10.5" customHeight="1">
      <c r="A26" s="17" t="s">
        <v>43</v>
      </c>
      <c r="B26" s="44">
        <v>1</v>
      </c>
      <c r="C26" s="45">
        <v>1</v>
      </c>
      <c r="D26" s="44">
        <v>0</v>
      </c>
      <c r="E26" s="45">
        <v>0</v>
      </c>
      <c r="F26" s="44">
        <v>0</v>
      </c>
      <c r="G26" s="45">
        <v>0</v>
      </c>
      <c r="H26" s="44">
        <v>0</v>
      </c>
      <c r="I26" s="45">
        <v>0</v>
      </c>
      <c r="J26" s="44">
        <v>0</v>
      </c>
      <c r="K26" s="45">
        <v>0</v>
      </c>
      <c r="L26" s="44">
        <v>0</v>
      </c>
      <c r="M26" s="45">
        <v>1</v>
      </c>
      <c r="N26" s="44">
        <v>0</v>
      </c>
      <c r="O26" s="45">
        <v>1</v>
      </c>
      <c r="P26" s="44">
        <f aca="true" t="shared" si="2" ref="P26:Q30">N26+L26+J26+H26+F26+D26+B26</f>
        <v>1</v>
      </c>
      <c r="Q26" s="45">
        <f t="shared" si="2"/>
        <v>3</v>
      </c>
      <c r="R26" s="46">
        <f>Q26+P26</f>
        <v>4</v>
      </c>
    </row>
    <row r="27" spans="1:18" ht="10.5" customHeight="1">
      <c r="A27" s="52" t="s">
        <v>46</v>
      </c>
      <c r="B27" s="44">
        <v>0</v>
      </c>
      <c r="C27" s="45">
        <v>1</v>
      </c>
      <c r="D27" s="44">
        <v>0</v>
      </c>
      <c r="E27" s="45">
        <v>0</v>
      </c>
      <c r="F27" s="44">
        <v>0</v>
      </c>
      <c r="G27" s="45">
        <v>0</v>
      </c>
      <c r="H27" s="44">
        <v>0</v>
      </c>
      <c r="I27" s="45">
        <v>0</v>
      </c>
      <c r="J27" s="44">
        <v>0</v>
      </c>
      <c r="K27" s="45">
        <v>0</v>
      </c>
      <c r="L27" s="44">
        <v>0</v>
      </c>
      <c r="M27" s="45">
        <v>1</v>
      </c>
      <c r="N27" s="44">
        <v>0</v>
      </c>
      <c r="O27" s="45">
        <v>0</v>
      </c>
      <c r="P27" s="44">
        <f t="shared" si="2"/>
        <v>0</v>
      </c>
      <c r="Q27" s="45">
        <f t="shared" si="2"/>
        <v>2</v>
      </c>
      <c r="R27" s="46">
        <f>Q27+P27</f>
        <v>2</v>
      </c>
    </row>
    <row r="28" spans="1:18" ht="10.5" customHeight="1">
      <c r="A28" s="52" t="s">
        <v>49</v>
      </c>
      <c r="B28" s="44">
        <v>0</v>
      </c>
      <c r="C28" s="45">
        <v>0</v>
      </c>
      <c r="D28" s="44">
        <v>0</v>
      </c>
      <c r="E28" s="45">
        <v>0</v>
      </c>
      <c r="F28" s="44">
        <v>1</v>
      </c>
      <c r="G28" s="45">
        <v>0</v>
      </c>
      <c r="H28" s="44">
        <v>0</v>
      </c>
      <c r="I28" s="45">
        <v>0</v>
      </c>
      <c r="J28" s="44">
        <v>0</v>
      </c>
      <c r="K28" s="45">
        <v>0</v>
      </c>
      <c r="L28" s="44">
        <v>2</v>
      </c>
      <c r="M28" s="45">
        <v>0</v>
      </c>
      <c r="N28" s="44">
        <v>0</v>
      </c>
      <c r="O28" s="45">
        <v>0</v>
      </c>
      <c r="P28" s="44">
        <f t="shared" si="2"/>
        <v>3</v>
      </c>
      <c r="Q28" s="45">
        <f t="shared" si="2"/>
        <v>0</v>
      </c>
      <c r="R28" s="46">
        <f>Q28+P28</f>
        <v>3</v>
      </c>
    </row>
    <row r="29" spans="1:18" ht="10.5" customHeight="1">
      <c r="A29" s="52" t="s">
        <v>58</v>
      </c>
      <c r="B29" s="44">
        <v>2</v>
      </c>
      <c r="C29" s="45">
        <v>1</v>
      </c>
      <c r="D29" s="44">
        <v>0</v>
      </c>
      <c r="E29" s="45">
        <v>0</v>
      </c>
      <c r="F29" s="44">
        <v>0</v>
      </c>
      <c r="G29" s="45">
        <v>0</v>
      </c>
      <c r="H29" s="44">
        <v>1</v>
      </c>
      <c r="I29" s="45">
        <v>0</v>
      </c>
      <c r="J29" s="44">
        <v>0</v>
      </c>
      <c r="K29" s="45">
        <v>0</v>
      </c>
      <c r="L29" s="44">
        <v>0</v>
      </c>
      <c r="M29" s="45">
        <v>1</v>
      </c>
      <c r="N29" s="44">
        <v>0</v>
      </c>
      <c r="O29" s="45">
        <v>0</v>
      </c>
      <c r="P29" s="44">
        <f t="shared" si="2"/>
        <v>3</v>
      </c>
      <c r="Q29" s="45">
        <f t="shared" si="2"/>
        <v>2</v>
      </c>
      <c r="R29" s="46">
        <f>Q29+P29</f>
        <v>5</v>
      </c>
    </row>
    <row r="30" spans="1:18" ht="10.5" customHeight="1">
      <c r="A30" s="52" t="s">
        <v>60</v>
      </c>
      <c r="B30" s="44">
        <v>1</v>
      </c>
      <c r="C30" s="45">
        <v>3</v>
      </c>
      <c r="D30" s="44">
        <v>0</v>
      </c>
      <c r="E30" s="45">
        <v>0</v>
      </c>
      <c r="F30" s="44">
        <v>0</v>
      </c>
      <c r="G30" s="45">
        <v>0</v>
      </c>
      <c r="H30" s="44">
        <v>0</v>
      </c>
      <c r="I30" s="45">
        <v>0</v>
      </c>
      <c r="J30" s="44">
        <v>0</v>
      </c>
      <c r="K30" s="45">
        <v>0</v>
      </c>
      <c r="L30" s="44">
        <v>1</v>
      </c>
      <c r="M30" s="45">
        <v>0</v>
      </c>
      <c r="N30" s="44">
        <v>0</v>
      </c>
      <c r="O30" s="45">
        <v>1</v>
      </c>
      <c r="P30" s="44">
        <f t="shared" si="2"/>
        <v>2</v>
      </c>
      <c r="Q30" s="45">
        <f t="shared" si="2"/>
        <v>4</v>
      </c>
      <c r="R30" s="46">
        <f>Q30+P30</f>
        <v>6</v>
      </c>
    </row>
    <row r="31" spans="2:18" ht="10.5" customHeight="1">
      <c r="B31" s="11"/>
      <c r="C31" s="12"/>
      <c r="D31" s="11"/>
      <c r="E31" s="12"/>
      <c r="F31" s="11"/>
      <c r="G31" s="12"/>
      <c r="H31" s="11"/>
      <c r="I31" s="12"/>
      <c r="J31" s="11"/>
      <c r="K31" s="12"/>
      <c r="L31" s="11"/>
      <c r="M31" s="12"/>
      <c r="N31" s="11"/>
      <c r="O31" s="12"/>
      <c r="P31" s="11"/>
      <c r="Q31" s="12"/>
      <c r="R31" s="13"/>
    </row>
    <row r="33" ht="10.5" customHeight="1">
      <c r="A33" s="7" t="s">
        <v>17</v>
      </c>
    </row>
    <row r="34" spans="1:18" ht="10.5" customHeight="1">
      <c r="A34" s="7" t="s">
        <v>12</v>
      </c>
      <c r="B34" s="34" t="s">
        <v>1</v>
      </c>
      <c r="C34" s="35"/>
      <c r="D34" s="34" t="s">
        <v>2</v>
      </c>
      <c r="E34" s="35"/>
      <c r="F34" s="34" t="s">
        <v>3</v>
      </c>
      <c r="G34" s="35"/>
      <c r="H34" s="34" t="s">
        <v>4</v>
      </c>
      <c r="I34" s="35"/>
      <c r="J34" s="34" t="s">
        <v>5</v>
      </c>
      <c r="K34" s="35"/>
      <c r="L34" s="34" t="s">
        <v>6</v>
      </c>
      <c r="M34" s="35"/>
      <c r="N34" s="34" t="s">
        <v>40</v>
      </c>
      <c r="O34" s="35"/>
      <c r="P34" s="34" t="s">
        <v>7</v>
      </c>
      <c r="Q34" s="35"/>
      <c r="R34" s="30" t="s">
        <v>8</v>
      </c>
    </row>
    <row r="35" spans="1:18" ht="10.5" customHeight="1">
      <c r="A35" s="7" t="s">
        <v>13</v>
      </c>
      <c r="B35" s="31" t="s">
        <v>9</v>
      </c>
      <c r="C35" s="32" t="s">
        <v>10</v>
      </c>
      <c r="D35" s="31" t="s">
        <v>9</v>
      </c>
      <c r="E35" s="32" t="s">
        <v>10</v>
      </c>
      <c r="F35" s="31" t="s">
        <v>9</v>
      </c>
      <c r="G35" s="32" t="s">
        <v>10</v>
      </c>
      <c r="H35" s="31" t="s">
        <v>9</v>
      </c>
      <c r="I35" s="32" t="s">
        <v>10</v>
      </c>
      <c r="J35" s="31" t="s">
        <v>9</v>
      </c>
      <c r="K35" s="32" t="s">
        <v>10</v>
      </c>
      <c r="L35" s="31" t="s">
        <v>9</v>
      </c>
      <c r="M35" s="32" t="s">
        <v>10</v>
      </c>
      <c r="N35" s="31" t="s">
        <v>9</v>
      </c>
      <c r="O35" s="32" t="s">
        <v>10</v>
      </c>
      <c r="P35" s="31" t="s">
        <v>9</v>
      </c>
      <c r="Q35" s="32" t="s">
        <v>10</v>
      </c>
      <c r="R35" s="33" t="s">
        <v>7</v>
      </c>
    </row>
    <row r="36" spans="1:18" ht="10.5" customHeight="1">
      <c r="A36" s="7"/>
      <c r="B36" s="14"/>
      <c r="C36" s="15"/>
      <c r="D36" s="14"/>
      <c r="E36" s="15"/>
      <c r="F36" s="14"/>
      <c r="G36" s="15"/>
      <c r="H36" s="14"/>
      <c r="I36" s="15"/>
      <c r="J36" s="14"/>
      <c r="K36" s="15"/>
      <c r="L36" s="14"/>
      <c r="M36" s="15"/>
      <c r="N36" s="14"/>
      <c r="O36" s="15"/>
      <c r="P36" s="14"/>
      <c r="Q36" s="15"/>
      <c r="R36" s="16"/>
    </row>
    <row r="37" spans="1:18" s="2" customFormat="1" ht="10.5" customHeight="1">
      <c r="A37" s="17" t="s">
        <v>43</v>
      </c>
      <c r="B37" s="44">
        <v>145</v>
      </c>
      <c r="C37" s="48">
        <v>26</v>
      </c>
      <c r="D37" s="44">
        <v>10</v>
      </c>
      <c r="E37" s="48">
        <v>5</v>
      </c>
      <c r="F37" s="44">
        <v>4</v>
      </c>
      <c r="G37" s="48">
        <v>2</v>
      </c>
      <c r="H37" s="44">
        <v>12</v>
      </c>
      <c r="I37" s="48">
        <v>0</v>
      </c>
      <c r="J37" s="44">
        <v>2</v>
      </c>
      <c r="K37" s="48">
        <v>2</v>
      </c>
      <c r="L37" s="44">
        <v>8</v>
      </c>
      <c r="M37" s="48">
        <v>2</v>
      </c>
      <c r="N37" s="44">
        <v>1</v>
      </c>
      <c r="O37" s="48">
        <v>1</v>
      </c>
      <c r="P37" s="44">
        <f aca="true" t="shared" si="3" ref="P37:Q41">N37+L37+J37+H37+F37+D37+B37</f>
        <v>182</v>
      </c>
      <c r="Q37" s="48">
        <f t="shared" si="3"/>
        <v>38</v>
      </c>
      <c r="R37" s="46">
        <f>Q37+P37</f>
        <v>220</v>
      </c>
    </row>
    <row r="38" spans="1:18" s="2" customFormat="1" ht="10.5" customHeight="1">
      <c r="A38" s="52" t="s">
        <v>46</v>
      </c>
      <c r="B38" s="44">
        <v>163</v>
      </c>
      <c r="C38" s="48">
        <v>35</v>
      </c>
      <c r="D38" s="44">
        <v>15</v>
      </c>
      <c r="E38" s="48">
        <v>7</v>
      </c>
      <c r="F38" s="44">
        <v>1</v>
      </c>
      <c r="G38" s="48">
        <v>1</v>
      </c>
      <c r="H38" s="44">
        <v>7</v>
      </c>
      <c r="I38" s="48">
        <v>0</v>
      </c>
      <c r="J38" s="44">
        <v>3</v>
      </c>
      <c r="K38" s="48">
        <v>2</v>
      </c>
      <c r="L38" s="44">
        <v>6</v>
      </c>
      <c r="M38" s="48">
        <v>1</v>
      </c>
      <c r="N38" s="44">
        <v>2</v>
      </c>
      <c r="O38" s="48">
        <v>1</v>
      </c>
      <c r="P38" s="44">
        <f t="shared" si="3"/>
        <v>197</v>
      </c>
      <c r="Q38" s="48">
        <f t="shared" si="3"/>
        <v>47</v>
      </c>
      <c r="R38" s="46">
        <f>Q38+P38</f>
        <v>244</v>
      </c>
    </row>
    <row r="39" spans="1:18" s="2" customFormat="1" ht="10.5" customHeight="1">
      <c r="A39" s="52" t="s">
        <v>49</v>
      </c>
      <c r="B39" s="44">
        <v>160</v>
      </c>
      <c r="C39" s="48">
        <v>25</v>
      </c>
      <c r="D39" s="44">
        <v>17</v>
      </c>
      <c r="E39" s="48">
        <v>10</v>
      </c>
      <c r="F39" s="44">
        <v>3</v>
      </c>
      <c r="G39" s="48">
        <v>5</v>
      </c>
      <c r="H39" s="44">
        <v>5</v>
      </c>
      <c r="I39" s="48">
        <v>0</v>
      </c>
      <c r="J39" s="44">
        <v>0</v>
      </c>
      <c r="K39" s="48">
        <v>1</v>
      </c>
      <c r="L39" s="44">
        <v>2</v>
      </c>
      <c r="M39" s="48">
        <v>0</v>
      </c>
      <c r="N39" s="44">
        <v>3</v>
      </c>
      <c r="O39" s="48">
        <v>0</v>
      </c>
      <c r="P39" s="44">
        <f t="shared" si="3"/>
        <v>190</v>
      </c>
      <c r="Q39" s="48">
        <f t="shared" si="3"/>
        <v>41</v>
      </c>
      <c r="R39" s="46">
        <f>Q39+P39</f>
        <v>231</v>
      </c>
    </row>
    <row r="40" spans="1:18" s="2" customFormat="1" ht="10.5" customHeight="1">
      <c r="A40" s="52" t="s">
        <v>58</v>
      </c>
      <c r="B40" s="44">
        <v>158</v>
      </c>
      <c r="C40" s="48">
        <v>23</v>
      </c>
      <c r="D40" s="44">
        <v>14</v>
      </c>
      <c r="E40" s="48">
        <v>10</v>
      </c>
      <c r="F40" s="44">
        <v>4</v>
      </c>
      <c r="G40" s="48">
        <v>3</v>
      </c>
      <c r="H40" s="44">
        <v>3</v>
      </c>
      <c r="I40" s="48">
        <v>0</v>
      </c>
      <c r="J40" s="44">
        <v>0</v>
      </c>
      <c r="K40" s="48">
        <v>0</v>
      </c>
      <c r="L40" s="44">
        <v>3</v>
      </c>
      <c r="M40" s="48">
        <v>0</v>
      </c>
      <c r="N40" s="44">
        <v>2</v>
      </c>
      <c r="O40" s="48">
        <v>1</v>
      </c>
      <c r="P40" s="44">
        <f t="shared" si="3"/>
        <v>184</v>
      </c>
      <c r="Q40" s="48">
        <f t="shared" si="3"/>
        <v>37</v>
      </c>
      <c r="R40" s="46">
        <f>Q40+P40</f>
        <v>221</v>
      </c>
    </row>
    <row r="41" spans="1:18" s="2" customFormat="1" ht="10.5" customHeight="1">
      <c r="A41" s="52" t="s">
        <v>60</v>
      </c>
      <c r="B41" s="44">
        <v>145</v>
      </c>
      <c r="C41" s="48">
        <v>25</v>
      </c>
      <c r="D41" s="44">
        <v>15</v>
      </c>
      <c r="E41" s="48">
        <v>6</v>
      </c>
      <c r="F41" s="44">
        <v>2</v>
      </c>
      <c r="G41" s="48">
        <v>2</v>
      </c>
      <c r="H41" s="44">
        <v>8</v>
      </c>
      <c r="I41" s="48">
        <v>0</v>
      </c>
      <c r="J41" s="44">
        <v>1</v>
      </c>
      <c r="K41" s="48">
        <v>0</v>
      </c>
      <c r="L41" s="44">
        <v>3</v>
      </c>
      <c r="M41" s="48">
        <v>0</v>
      </c>
      <c r="N41" s="44">
        <v>3</v>
      </c>
      <c r="O41" s="48">
        <v>0</v>
      </c>
      <c r="P41" s="44">
        <f t="shared" si="3"/>
        <v>177</v>
      </c>
      <c r="Q41" s="48">
        <f t="shared" si="3"/>
        <v>33</v>
      </c>
      <c r="R41" s="46">
        <f>Q41+P41</f>
        <v>210</v>
      </c>
    </row>
    <row r="42" spans="1:18" ht="10.5" customHeight="1">
      <c r="A42" s="7"/>
      <c r="B42" s="11"/>
      <c r="C42" s="20"/>
      <c r="D42" s="11"/>
      <c r="E42" s="20"/>
      <c r="F42" s="11"/>
      <c r="G42" s="20"/>
      <c r="H42" s="11"/>
      <c r="I42" s="20"/>
      <c r="J42" s="11"/>
      <c r="K42" s="20"/>
      <c r="L42" s="11"/>
      <c r="M42" s="20"/>
      <c r="N42" s="11"/>
      <c r="O42" s="20"/>
      <c r="P42" s="11"/>
      <c r="Q42" s="20"/>
      <c r="R42" s="13"/>
    </row>
    <row r="43" spans="1:16" ht="10.5" customHeight="1">
      <c r="A43" s="7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</row>
    <row r="44" ht="10.5" customHeight="1">
      <c r="A44" s="7" t="s">
        <v>11</v>
      </c>
    </row>
    <row r="45" spans="1:18" ht="10.5" customHeight="1">
      <c r="A45" s="7" t="s">
        <v>12</v>
      </c>
      <c r="B45" s="34" t="s">
        <v>1</v>
      </c>
      <c r="C45" s="35"/>
      <c r="D45" s="34" t="s">
        <v>2</v>
      </c>
      <c r="E45" s="35"/>
      <c r="F45" s="34" t="s">
        <v>3</v>
      </c>
      <c r="G45" s="35"/>
      <c r="H45" s="34" t="s">
        <v>4</v>
      </c>
      <c r="I45" s="35"/>
      <c r="J45" s="34" t="s">
        <v>5</v>
      </c>
      <c r="K45" s="35"/>
      <c r="L45" s="34" t="s">
        <v>6</v>
      </c>
      <c r="M45" s="35"/>
      <c r="N45" s="34" t="s">
        <v>40</v>
      </c>
      <c r="O45" s="35"/>
      <c r="P45" s="34" t="s">
        <v>7</v>
      </c>
      <c r="Q45" s="35"/>
      <c r="R45" s="30" t="s">
        <v>8</v>
      </c>
    </row>
    <row r="46" spans="1:18" ht="10.5" customHeight="1">
      <c r="A46" s="7" t="s">
        <v>13</v>
      </c>
      <c r="B46" s="31" t="s">
        <v>9</v>
      </c>
      <c r="C46" s="32" t="s">
        <v>10</v>
      </c>
      <c r="D46" s="31" t="s">
        <v>9</v>
      </c>
      <c r="E46" s="32" t="s">
        <v>10</v>
      </c>
      <c r="F46" s="31" t="s">
        <v>9</v>
      </c>
      <c r="G46" s="32" t="s">
        <v>10</v>
      </c>
      <c r="H46" s="31" t="s">
        <v>9</v>
      </c>
      <c r="I46" s="32" t="s">
        <v>10</v>
      </c>
      <c r="J46" s="31" t="s">
        <v>9</v>
      </c>
      <c r="K46" s="32" t="s">
        <v>10</v>
      </c>
      <c r="L46" s="31" t="s">
        <v>9</v>
      </c>
      <c r="M46" s="32" t="s">
        <v>10</v>
      </c>
      <c r="N46" s="31" t="s">
        <v>9</v>
      </c>
      <c r="O46" s="32" t="s">
        <v>10</v>
      </c>
      <c r="P46" s="31" t="s">
        <v>9</v>
      </c>
      <c r="Q46" s="32" t="s">
        <v>10</v>
      </c>
      <c r="R46" s="33" t="s">
        <v>7</v>
      </c>
    </row>
    <row r="47" spans="1:18" ht="10.5" customHeight="1">
      <c r="A47" s="7"/>
      <c r="B47" s="14"/>
      <c r="C47" s="15"/>
      <c r="D47" s="14"/>
      <c r="E47" s="15"/>
      <c r="F47" s="14"/>
      <c r="G47" s="15"/>
      <c r="H47" s="14"/>
      <c r="I47" s="15"/>
      <c r="J47" s="14"/>
      <c r="K47" s="15"/>
      <c r="L47" s="14"/>
      <c r="M47" s="15"/>
      <c r="N47" s="14"/>
      <c r="O47" s="15"/>
      <c r="P47" s="14"/>
      <c r="Q47" s="15"/>
      <c r="R47" s="16"/>
    </row>
    <row r="48" spans="1:18" s="2" customFormat="1" ht="10.5" customHeight="1">
      <c r="A48" s="17" t="s">
        <v>43</v>
      </c>
      <c r="B48" s="44">
        <v>34</v>
      </c>
      <c r="C48" s="48">
        <v>14</v>
      </c>
      <c r="D48" s="44">
        <v>3</v>
      </c>
      <c r="E48" s="48">
        <v>3</v>
      </c>
      <c r="F48" s="44">
        <v>1</v>
      </c>
      <c r="G48" s="48">
        <v>0</v>
      </c>
      <c r="H48" s="44">
        <v>2</v>
      </c>
      <c r="I48" s="48">
        <v>3</v>
      </c>
      <c r="J48" s="44">
        <v>0</v>
      </c>
      <c r="K48" s="48">
        <v>0</v>
      </c>
      <c r="L48" s="44">
        <v>57</v>
      </c>
      <c r="M48" s="48">
        <v>25</v>
      </c>
      <c r="N48" s="44">
        <v>2</v>
      </c>
      <c r="O48" s="48">
        <v>1</v>
      </c>
      <c r="P48" s="44">
        <f aca="true" t="shared" si="4" ref="P48:Q52">N48+L48+J48+H48+F48+D48+B48</f>
        <v>99</v>
      </c>
      <c r="Q48" s="48">
        <f t="shared" si="4"/>
        <v>46</v>
      </c>
      <c r="R48" s="46">
        <f>Q48+P48</f>
        <v>145</v>
      </c>
    </row>
    <row r="49" spans="1:18" s="2" customFormat="1" ht="10.5" customHeight="1">
      <c r="A49" s="52" t="s">
        <v>46</v>
      </c>
      <c r="B49" s="44">
        <v>29</v>
      </c>
      <c r="C49" s="48">
        <v>13</v>
      </c>
      <c r="D49" s="44">
        <v>2</v>
      </c>
      <c r="E49" s="48">
        <v>1</v>
      </c>
      <c r="F49" s="44">
        <v>1</v>
      </c>
      <c r="G49" s="48">
        <v>0</v>
      </c>
      <c r="H49" s="44">
        <v>3</v>
      </c>
      <c r="I49" s="48">
        <v>3</v>
      </c>
      <c r="J49" s="44">
        <v>0</v>
      </c>
      <c r="K49" s="48">
        <v>0</v>
      </c>
      <c r="L49" s="44">
        <v>43</v>
      </c>
      <c r="M49" s="48">
        <v>19</v>
      </c>
      <c r="N49" s="44">
        <v>2</v>
      </c>
      <c r="O49" s="48">
        <v>1</v>
      </c>
      <c r="P49" s="44">
        <f t="shared" si="4"/>
        <v>80</v>
      </c>
      <c r="Q49" s="48">
        <f t="shared" si="4"/>
        <v>37</v>
      </c>
      <c r="R49" s="46">
        <f>Q49+P49</f>
        <v>117</v>
      </c>
    </row>
    <row r="50" spans="1:18" s="2" customFormat="1" ht="10.5" customHeight="1">
      <c r="A50" s="52" t="s">
        <v>49</v>
      </c>
      <c r="B50" s="44">
        <v>34</v>
      </c>
      <c r="C50" s="48">
        <v>16</v>
      </c>
      <c r="D50" s="44">
        <v>1</v>
      </c>
      <c r="E50" s="48">
        <v>1</v>
      </c>
      <c r="F50" s="44">
        <v>1</v>
      </c>
      <c r="G50" s="48">
        <v>0</v>
      </c>
      <c r="H50" s="44">
        <v>4</v>
      </c>
      <c r="I50" s="48">
        <v>2</v>
      </c>
      <c r="J50" s="44">
        <v>0</v>
      </c>
      <c r="K50" s="48">
        <v>0</v>
      </c>
      <c r="L50" s="44">
        <v>36</v>
      </c>
      <c r="M50" s="48">
        <v>17</v>
      </c>
      <c r="N50" s="44">
        <v>0</v>
      </c>
      <c r="O50" s="48">
        <v>0</v>
      </c>
      <c r="P50" s="44">
        <f t="shared" si="4"/>
        <v>76</v>
      </c>
      <c r="Q50" s="48">
        <f t="shared" si="4"/>
        <v>36</v>
      </c>
      <c r="R50" s="46">
        <f>Q50+P50</f>
        <v>112</v>
      </c>
    </row>
    <row r="51" spans="1:18" s="2" customFormat="1" ht="10.5" customHeight="1">
      <c r="A51" s="52" t="s">
        <v>58</v>
      </c>
      <c r="B51" s="44">
        <v>36</v>
      </c>
      <c r="C51" s="48">
        <v>11</v>
      </c>
      <c r="D51" s="44">
        <v>2</v>
      </c>
      <c r="E51" s="48">
        <v>0</v>
      </c>
      <c r="F51" s="44">
        <v>0</v>
      </c>
      <c r="G51" s="48">
        <v>0</v>
      </c>
      <c r="H51" s="44">
        <v>5</v>
      </c>
      <c r="I51" s="48">
        <v>1</v>
      </c>
      <c r="J51" s="44">
        <v>0</v>
      </c>
      <c r="K51" s="48">
        <v>0</v>
      </c>
      <c r="L51" s="44">
        <v>43</v>
      </c>
      <c r="M51" s="48">
        <v>28</v>
      </c>
      <c r="N51" s="44">
        <v>0</v>
      </c>
      <c r="O51" s="48">
        <v>0</v>
      </c>
      <c r="P51" s="44">
        <f t="shared" si="4"/>
        <v>86</v>
      </c>
      <c r="Q51" s="48">
        <f t="shared" si="4"/>
        <v>40</v>
      </c>
      <c r="R51" s="46">
        <f>Q51+P51</f>
        <v>126</v>
      </c>
    </row>
    <row r="52" spans="1:18" s="2" customFormat="1" ht="10.5" customHeight="1">
      <c r="A52" s="52" t="s">
        <v>60</v>
      </c>
      <c r="B52" s="44">
        <v>33</v>
      </c>
      <c r="C52" s="48">
        <v>8</v>
      </c>
      <c r="D52" s="44">
        <v>3</v>
      </c>
      <c r="E52" s="48">
        <v>1</v>
      </c>
      <c r="F52" s="44">
        <v>0</v>
      </c>
      <c r="G52" s="48">
        <v>0</v>
      </c>
      <c r="H52" s="44">
        <v>4</v>
      </c>
      <c r="I52" s="48">
        <v>1</v>
      </c>
      <c r="J52" s="44">
        <v>0</v>
      </c>
      <c r="K52" s="48">
        <v>0</v>
      </c>
      <c r="L52" s="44">
        <v>29</v>
      </c>
      <c r="M52" s="48">
        <v>24</v>
      </c>
      <c r="N52" s="44">
        <v>0</v>
      </c>
      <c r="O52" s="48">
        <v>1</v>
      </c>
      <c r="P52" s="44">
        <f t="shared" si="4"/>
        <v>69</v>
      </c>
      <c r="Q52" s="48">
        <f t="shared" si="4"/>
        <v>35</v>
      </c>
      <c r="R52" s="46">
        <f>Q52+P52</f>
        <v>104</v>
      </c>
    </row>
    <row r="53" spans="1:18" ht="10.5" customHeight="1">
      <c r="A53" s="7"/>
      <c r="B53" s="11"/>
      <c r="C53" s="20"/>
      <c r="D53" s="11"/>
      <c r="E53" s="20"/>
      <c r="F53" s="11"/>
      <c r="G53" s="20"/>
      <c r="H53" s="11"/>
      <c r="I53" s="20"/>
      <c r="J53" s="11"/>
      <c r="K53" s="20"/>
      <c r="L53" s="11"/>
      <c r="M53" s="20"/>
      <c r="N53" s="11"/>
      <c r="O53" s="20"/>
      <c r="P53" s="11"/>
      <c r="Q53" s="20"/>
      <c r="R53" s="13"/>
    </row>
    <row r="56" spans="1:9" ht="10.5" customHeight="1">
      <c r="A56" s="38" t="s">
        <v>57</v>
      </c>
      <c r="C56" s="38"/>
      <c r="D56" s="38"/>
      <c r="E56" s="38"/>
      <c r="F56" s="38"/>
      <c r="G56" s="38"/>
      <c r="H56" s="38"/>
      <c r="I56" s="38"/>
    </row>
    <row r="57" ht="10.5" customHeight="1">
      <c r="A57" s="38"/>
    </row>
    <row r="58" ht="10.5" customHeight="1">
      <c r="A58" s="27"/>
    </row>
    <row r="59" ht="10.5" customHeight="1">
      <c r="A59" s="38"/>
    </row>
    <row r="90" spans="1:16" s="2" customFormat="1" ht="10.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</row>
    <row r="100" spans="1:16" s="2" customFormat="1" ht="10.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</row>
    <row r="122" spans="1:16" s="2" customFormat="1" ht="10.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</row>
    <row r="143" spans="1:16" s="2" customFormat="1" ht="10.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</row>
    <row r="164" spans="1:16" s="2" customFormat="1" ht="10.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</row>
    <row r="205" spans="1:16" s="2" customFormat="1" ht="10.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</row>
    <row r="215" spans="1:16" s="2" customFormat="1" ht="10.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</row>
    <row r="226" spans="1:16" s="2" customFormat="1" ht="10.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</row>
    <row r="239" spans="1:16" s="2" customFormat="1" ht="10.5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</row>
    <row r="280" spans="1:16" s="2" customFormat="1" ht="10.5" customHeight="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</row>
  </sheetData>
  <printOptions/>
  <pageMargins left="1" right="0.25" top="1" bottom="0.75" header="0.5" footer="0.25"/>
  <pageSetup fitToHeight="1" fitToWidth="1" horizontalDpi="300" verticalDpi="300" orientation="landscape" scale="82" r:id="rId3"/>
  <headerFooter alignWithMargins="0">
    <oddHeader>&amp;CThe University of Alabama in Huntsville
Unit Academic Reports 
</oddHeader>
    <oddFooter>&amp;L&amp;8Office of Institutional Research
&amp;D (np)
&amp;F</oddFooter>
  </headerFooter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5"/>
  <sheetViews>
    <sheetView workbookViewId="0" topLeftCell="A1">
      <selection activeCell="A2" sqref="A2"/>
    </sheetView>
  </sheetViews>
  <sheetFormatPr defaultColWidth="9.140625" defaultRowHeight="12.75" customHeight="1"/>
  <cols>
    <col min="1" max="1" width="25.7109375" style="27" customWidth="1"/>
    <col min="2" max="8" width="14.7109375" style="3" customWidth="1"/>
    <col min="9" max="16384" width="9.140625" style="3" customWidth="1"/>
  </cols>
  <sheetData>
    <row r="1" ht="12.75" customHeight="1">
      <c r="A1" s="1" t="s">
        <v>27</v>
      </c>
    </row>
    <row r="3" ht="12.75" customHeight="1">
      <c r="A3" s="7" t="s">
        <v>17</v>
      </c>
    </row>
    <row r="4" spans="1:4" s="38" customFormat="1" ht="12.75" customHeight="1">
      <c r="A4" s="26" t="s">
        <v>12</v>
      </c>
      <c r="B4" s="37" t="s">
        <v>16</v>
      </c>
      <c r="C4" s="37" t="s">
        <v>14</v>
      </c>
      <c r="D4" s="37" t="s">
        <v>15</v>
      </c>
    </row>
    <row r="5" spans="2:4" ht="12.75" customHeight="1">
      <c r="B5" s="10"/>
      <c r="C5" s="10"/>
      <c r="D5" s="10"/>
    </row>
    <row r="6" spans="1:4" s="2" customFormat="1" ht="12.75" customHeight="1">
      <c r="A6" s="7" t="s">
        <v>43</v>
      </c>
      <c r="B6" s="16">
        <v>122</v>
      </c>
      <c r="C6" s="16">
        <f>'CS'!R37</f>
        <v>220</v>
      </c>
      <c r="D6" s="16">
        <v>206</v>
      </c>
    </row>
    <row r="7" spans="1:4" s="2" customFormat="1" ht="12.75" customHeight="1">
      <c r="A7" s="52" t="s">
        <v>46</v>
      </c>
      <c r="B7" s="16">
        <v>105</v>
      </c>
      <c r="C7" s="16">
        <f>'CS'!R38</f>
        <v>244</v>
      </c>
      <c r="D7" s="16">
        <v>230</v>
      </c>
    </row>
    <row r="8" spans="1:4" s="2" customFormat="1" ht="12.75" customHeight="1">
      <c r="A8" s="52" t="s">
        <v>49</v>
      </c>
      <c r="B8" s="16">
        <v>120</v>
      </c>
      <c r="C8" s="16">
        <f>'CS'!R39</f>
        <v>231</v>
      </c>
      <c r="D8" s="16">
        <v>213</v>
      </c>
    </row>
    <row r="9" spans="1:4" s="2" customFormat="1" ht="12.75" customHeight="1">
      <c r="A9" s="52" t="s">
        <v>58</v>
      </c>
      <c r="B9" s="16">
        <v>114</v>
      </c>
      <c r="C9" s="16">
        <f>'CS'!R40</f>
        <v>221</v>
      </c>
      <c r="D9" s="16">
        <v>210</v>
      </c>
    </row>
    <row r="10" spans="1:4" s="2" customFormat="1" ht="12.75" customHeight="1">
      <c r="A10" s="52" t="s">
        <v>60</v>
      </c>
      <c r="B10" s="16">
        <v>118</v>
      </c>
      <c r="C10" s="16">
        <f>'CS'!R41</f>
        <v>210</v>
      </c>
      <c r="D10" s="16">
        <v>191</v>
      </c>
    </row>
    <row r="11" spans="1:4" ht="12.75" customHeight="1">
      <c r="A11" s="7"/>
      <c r="B11" s="9"/>
      <c r="C11" s="9"/>
      <c r="D11" s="9"/>
    </row>
    <row r="13" ht="12.75" customHeight="1">
      <c r="A13" s="7" t="s">
        <v>11</v>
      </c>
    </row>
    <row r="14" spans="1:4" s="38" customFormat="1" ht="12.75" customHeight="1">
      <c r="A14" s="26" t="s">
        <v>12</v>
      </c>
      <c r="B14" s="37" t="s">
        <v>16</v>
      </c>
      <c r="C14" s="37" t="s">
        <v>14</v>
      </c>
      <c r="D14" s="37" t="s">
        <v>15</v>
      </c>
    </row>
    <row r="15" spans="2:4" ht="12.75" customHeight="1">
      <c r="B15" s="10"/>
      <c r="C15" s="10"/>
      <c r="D15" s="10"/>
    </row>
    <row r="16" spans="1:4" s="2" customFormat="1" ht="12.75" customHeight="1">
      <c r="A16" s="7" t="s">
        <v>43</v>
      </c>
      <c r="B16" s="16">
        <v>76</v>
      </c>
      <c r="C16" s="16">
        <f>'CS'!R48</f>
        <v>145</v>
      </c>
      <c r="D16" s="16">
        <v>121</v>
      </c>
    </row>
    <row r="17" spans="1:4" s="2" customFormat="1" ht="12.75" customHeight="1">
      <c r="A17" s="52" t="s">
        <v>46</v>
      </c>
      <c r="B17" s="16">
        <v>66</v>
      </c>
      <c r="C17" s="16">
        <f>'CS'!R49</f>
        <v>117</v>
      </c>
      <c r="D17" s="16">
        <v>103</v>
      </c>
    </row>
    <row r="18" spans="1:4" s="2" customFormat="1" ht="12.75" customHeight="1">
      <c r="A18" s="52" t="s">
        <v>49</v>
      </c>
      <c r="B18" s="16">
        <v>64</v>
      </c>
      <c r="C18" s="16">
        <f>'CS'!R50</f>
        <v>112</v>
      </c>
      <c r="D18" s="16">
        <v>107</v>
      </c>
    </row>
    <row r="19" spans="1:4" s="2" customFormat="1" ht="12.75" customHeight="1">
      <c r="A19" s="52" t="s">
        <v>58</v>
      </c>
      <c r="B19" s="16">
        <v>76</v>
      </c>
      <c r="C19" s="16">
        <f>'CS'!R51</f>
        <v>126</v>
      </c>
      <c r="D19" s="16">
        <v>113</v>
      </c>
    </row>
    <row r="20" spans="1:4" s="2" customFormat="1" ht="12.75" customHeight="1">
      <c r="A20" s="52" t="s">
        <v>60</v>
      </c>
      <c r="B20" s="16">
        <v>82</v>
      </c>
      <c r="C20" s="16">
        <f>'CS'!R52</f>
        <v>104</v>
      </c>
      <c r="D20" s="16">
        <v>82</v>
      </c>
    </row>
    <row r="21" spans="2:4" s="2" customFormat="1" ht="12.75" customHeight="1">
      <c r="B21" s="9"/>
      <c r="C21" s="9"/>
      <c r="D21" s="9"/>
    </row>
    <row r="22" spans="1:4" s="2" customFormat="1" ht="12.75" customHeight="1">
      <c r="A22" s="17"/>
      <c r="B22" s="53"/>
      <c r="C22" s="53"/>
      <c r="D22" s="53"/>
    </row>
    <row r="23" spans="1:8" s="38" customFormat="1" ht="12.75" customHeight="1">
      <c r="A23" s="26" t="s">
        <v>48</v>
      </c>
      <c r="B23" s="40" t="s">
        <v>17</v>
      </c>
      <c r="C23" s="40" t="s">
        <v>17</v>
      </c>
      <c r="D23" s="40" t="s">
        <v>7</v>
      </c>
      <c r="E23" s="40" t="s">
        <v>11</v>
      </c>
      <c r="F23" s="40" t="s">
        <v>11</v>
      </c>
      <c r="G23" s="41" t="s">
        <v>7</v>
      </c>
      <c r="H23" s="41" t="s">
        <v>8</v>
      </c>
    </row>
    <row r="24" spans="1:8" s="38" customFormat="1" ht="12.75" customHeight="1">
      <c r="A24" s="26"/>
      <c r="B24" s="42" t="s">
        <v>18</v>
      </c>
      <c r="C24" s="42" t="s">
        <v>19</v>
      </c>
      <c r="D24" s="42" t="s">
        <v>17</v>
      </c>
      <c r="E24" s="42" t="s">
        <v>20</v>
      </c>
      <c r="F24" s="42" t="s">
        <v>21</v>
      </c>
      <c r="G24" s="43" t="s">
        <v>11</v>
      </c>
      <c r="H24" s="43" t="s">
        <v>7</v>
      </c>
    </row>
    <row r="25" spans="2:8" ht="12.75" customHeight="1">
      <c r="B25" s="4"/>
      <c r="C25" s="4"/>
      <c r="D25" s="4"/>
      <c r="E25" s="4"/>
      <c r="F25" s="4"/>
      <c r="G25" s="4"/>
      <c r="H25" s="10"/>
    </row>
    <row r="26" spans="1:8" ht="12.75" customHeight="1">
      <c r="A26" s="7" t="s">
        <v>43</v>
      </c>
      <c r="B26" s="50">
        <v>2190</v>
      </c>
      <c r="C26" s="50">
        <v>1761</v>
      </c>
      <c r="D26" s="50">
        <f>C26+B26</f>
        <v>3951</v>
      </c>
      <c r="E26" s="50">
        <v>2100</v>
      </c>
      <c r="F26" s="50">
        <v>390</v>
      </c>
      <c r="G26" s="50">
        <f>F26+E26</f>
        <v>2490</v>
      </c>
      <c r="H26" s="51">
        <f>G26+D26</f>
        <v>6441</v>
      </c>
    </row>
    <row r="27" spans="1:8" ht="12.75" customHeight="1">
      <c r="A27" s="52" t="s">
        <v>46</v>
      </c>
      <c r="B27" s="50">
        <f>285+1086+906</f>
        <v>2277</v>
      </c>
      <c r="C27" s="50">
        <f>285+624+654</f>
        <v>1563</v>
      </c>
      <c r="D27" s="50">
        <f>C27+B27</f>
        <v>3840</v>
      </c>
      <c r="E27" s="50">
        <f>291+765+699</f>
        <v>1755</v>
      </c>
      <c r="F27" s="50">
        <f>66+108+105</f>
        <v>279</v>
      </c>
      <c r="G27" s="50">
        <f>F27+E27</f>
        <v>2034</v>
      </c>
      <c r="H27" s="51">
        <f>G27+D27</f>
        <v>5874</v>
      </c>
    </row>
    <row r="28" spans="1:8" ht="12.75" customHeight="1">
      <c r="A28" s="52" t="s">
        <v>49</v>
      </c>
      <c r="B28" s="50">
        <f>252+1033+820</f>
        <v>2105</v>
      </c>
      <c r="C28" s="50">
        <f>267+774+642</f>
        <v>1683</v>
      </c>
      <c r="D28" s="50">
        <f>C28+B28</f>
        <v>3788</v>
      </c>
      <c r="E28" s="50">
        <f>246+726+723</f>
        <v>1695</v>
      </c>
      <c r="F28" s="50">
        <f>72+81+90</f>
        <v>243</v>
      </c>
      <c r="G28" s="50">
        <f>F28+E28</f>
        <v>1938</v>
      </c>
      <c r="H28" s="51">
        <f>G28+D28</f>
        <v>5726</v>
      </c>
    </row>
    <row r="29" spans="1:8" ht="12.75" customHeight="1">
      <c r="A29" s="52" t="s">
        <v>58</v>
      </c>
      <c r="B29" s="50">
        <v>2106</v>
      </c>
      <c r="C29" s="50">
        <v>1617</v>
      </c>
      <c r="D29" s="50">
        <f>C29+B29</f>
        <v>3723</v>
      </c>
      <c r="E29" s="50">
        <v>1938</v>
      </c>
      <c r="F29" s="50">
        <v>201</v>
      </c>
      <c r="G29" s="50">
        <f>F29+E29</f>
        <v>2139</v>
      </c>
      <c r="H29" s="51">
        <f>G29+D29</f>
        <v>5862</v>
      </c>
    </row>
    <row r="30" spans="1:8" ht="12.75" customHeight="1">
      <c r="A30" s="52" t="s">
        <v>60</v>
      </c>
      <c r="B30" s="50">
        <v>2095</v>
      </c>
      <c r="C30" s="50">
        <v>1695</v>
      </c>
      <c r="D30" s="50">
        <f>C30+B30</f>
        <v>3790</v>
      </c>
      <c r="E30" s="50">
        <v>1746</v>
      </c>
      <c r="F30" s="50">
        <v>171</v>
      </c>
      <c r="G30" s="50">
        <f>F30+E30</f>
        <v>1917</v>
      </c>
      <c r="H30" s="51">
        <f>G30+D30</f>
        <v>5707</v>
      </c>
    </row>
    <row r="31" spans="1:8" ht="12.75" customHeight="1">
      <c r="A31" s="28"/>
      <c r="B31" s="11"/>
      <c r="C31" s="11"/>
      <c r="D31" s="11"/>
      <c r="E31" s="11"/>
      <c r="F31" s="11"/>
      <c r="G31" s="11"/>
      <c r="H31" s="13"/>
    </row>
    <row r="32" spans="6:8" ht="12.75" customHeight="1">
      <c r="F32"/>
      <c r="G32"/>
      <c r="H32"/>
    </row>
    <row r="33" spans="1:8" s="38" customFormat="1" ht="12.75" customHeight="1">
      <c r="A33" s="26" t="s">
        <v>47</v>
      </c>
      <c r="B33" s="40" t="s">
        <v>17</v>
      </c>
      <c r="C33" s="40" t="s">
        <v>17</v>
      </c>
      <c r="D33" s="40" t="s">
        <v>7</v>
      </c>
      <c r="E33" s="40" t="s">
        <v>11</v>
      </c>
      <c r="F33" s="40" t="s">
        <v>22</v>
      </c>
      <c r="G33" s="40" t="s">
        <v>23</v>
      </c>
      <c r="H33" s="41" t="s">
        <v>8</v>
      </c>
    </row>
    <row r="34" spans="2:8" s="38" customFormat="1" ht="12.75" customHeight="1">
      <c r="B34" s="42" t="s">
        <v>18</v>
      </c>
      <c r="C34" s="42" t="s">
        <v>19</v>
      </c>
      <c r="D34" s="42" t="s">
        <v>17</v>
      </c>
      <c r="E34" s="42" t="s">
        <v>20</v>
      </c>
      <c r="F34" s="42" t="s">
        <v>21</v>
      </c>
      <c r="G34" s="42" t="s">
        <v>11</v>
      </c>
      <c r="H34" s="43" t="s">
        <v>7</v>
      </c>
    </row>
    <row r="35" spans="2:8" ht="12.75" customHeight="1">
      <c r="B35" s="14"/>
      <c r="C35" s="14"/>
      <c r="D35" s="14"/>
      <c r="E35" s="14"/>
      <c r="F35" s="14"/>
      <c r="G35" s="14"/>
      <c r="H35" s="16"/>
    </row>
    <row r="36" spans="1:8" ht="12.75" customHeight="1">
      <c r="A36" s="7" t="s">
        <v>43</v>
      </c>
      <c r="B36" s="23">
        <f>SUM(B26*1.1)</f>
        <v>2409</v>
      </c>
      <c r="C36" s="23">
        <f>SUM(C26*1.48)</f>
        <v>2606.2799999999997</v>
      </c>
      <c r="D36" s="23">
        <f>C36+B36</f>
        <v>5015.28</v>
      </c>
      <c r="E36" s="23">
        <f>SUM(E26*5.36)</f>
        <v>11256</v>
      </c>
      <c r="F36" s="23">
        <f>SUM(F26*17.6)</f>
        <v>6864.000000000001</v>
      </c>
      <c r="G36" s="23">
        <f>F36+E36</f>
        <v>18120</v>
      </c>
      <c r="H36" s="24">
        <f>G36+D36</f>
        <v>23135.28</v>
      </c>
    </row>
    <row r="37" spans="1:8" ht="12.75" customHeight="1">
      <c r="A37" s="52" t="s">
        <v>46</v>
      </c>
      <c r="B37" s="23">
        <f>SUM(B27*1.1)</f>
        <v>2504.7000000000003</v>
      </c>
      <c r="C37" s="23">
        <f>SUM(C27*1.48)</f>
        <v>2313.24</v>
      </c>
      <c r="D37" s="23">
        <f>C37+B37</f>
        <v>4817.9400000000005</v>
      </c>
      <c r="E37" s="23">
        <f>SUM(E27*5.36)</f>
        <v>9406.800000000001</v>
      </c>
      <c r="F37" s="23">
        <f>SUM(F27*17.6)</f>
        <v>4910.400000000001</v>
      </c>
      <c r="G37" s="23">
        <f>F37+E37</f>
        <v>14317.2</v>
      </c>
      <c r="H37" s="24">
        <f>G37+D37</f>
        <v>19135.14</v>
      </c>
    </row>
    <row r="38" spans="1:8" ht="12.75" customHeight="1">
      <c r="A38" s="52" t="s">
        <v>49</v>
      </c>
      <c r="B38" s="23">
        <f>SUM(B28*1.1)</f>
        <v>2315.5</v>
      </c>
      <c r="C38" s="23">
        <f>SUM(C28*1.48)</f>
        <v>2490.84</v>
      </c>
      <c r="D38" s="23">
        <f>C38+B38</f>
        <v>4806.34</v>
      </c>
      <c r="E38" s="23">
        <f>SUM(E28*5.36)</f>
        <v>9085.2</v>
      </c>
      <c r="F38" s="23">
        <f>SUM(F28*17.6)</f>
        <v>4276.8</v>
      </c>
      <c r="G38" s="23">
        <f>F38+E38</f>
        <v>13362</v>
      </c>
      <c r="H38" s="24">
        <f>G38+D38</f>
        <v>18168.34</v>
      </c>
    </row>
    <row r="39" spans="1:8" ht="12.75" customHeight="1">
      <c r="A39" s="52" t="s">
        <v>58</v>
      </c>
      <c r="B39" s="23">
        <f>SUM(B29*1.1)</f>
        <v>2316.6000000000004</v>
      </c>
      <c r="C39" s="23">
        <f>SUM(C29*1.48)</f>
        <v>2393.16</v>
      </c>
      <c r="D39" s="23">
        <f>C39+B39</f>
        <v>4709.76</v>
      </c>
      <c r="E39" s="23">
        <f>SUM(E29*5.36)</f>
        <v>10387.68</v>
      </c>
      <c r="F39" s="23">
        <f>SUM(F29*17.6)</f>
        <v>3537.6000000000004</v>
      </c>
      <c r="G39" s="23">
        <f>F39+E39</f>
        <v>13925.28</v>
      </c>
      <c r="H39" s="24">
        <f>G39+D39</f>
        <v>18635.04</v>
      </c>
    </row>
    <row r="40" spans="1:8" ht="12.75" customHeight="1">
      <c r="A40" s="52" t="s">
        <v>60</v>
      </c>
      <c r="B40" s="23">
        <f>SUM(B30*1.1)</f>
        <v>2304.5</v>
      </c>
      <c r="C40" s="23">
        <f>SUM(C30*1.48)</f>
        <v>2508.6</v>
      </c>
      <c r="D40" s="23">
        <f>C40+B40</f>
        <v>4813.1</v>
      </c>
      <c r="E40" s="23">
        <f>SUM(E30*5.36)</f>
        <v>9358.560000000001</v>
      </c>
      <c r="F40" s="23">
        <f>SUM(F30*17.6)</f>
        <v>3009.6000000000004</v>
      </c>
      <c r="G40" s="23">
        <f>F40+E40</f>
        <v>12368.160000000002</v>
      </c>
      <c r="H40" s="24">
        <f>G40+D40</f>
        <v>17181.260000000002</v>
      </c>
    </row>
    <row r="41" spans="1:8" ht="12.75" customHeight="1">
      <c r="A41" s="28"/>
      <c r="B41" s="11"/>
      <c r="C41" s="11"/>
      <c r="D41" s="11"/>
      <c r="E41" s="11"/>
      <c r="F41" s="11"/>
      <c r="G41" s="11"/>
      <c r="H41" s="13"/>
    </row>
    <row r="43" ht="12.75" customHeight="1">
      <c r="A43" s="27" t="s">
        <v>50</v>
      </c>
    </row>
    <row r="75" spans="1:9" s="2" customFormat="1" ht="12.75" customHeight="1">
      <c r="A75" s="27"/>
      <c r="B75" s="3"/>
      <c r="C75" s="3"/>
      <c r="D75" s="3"/>
      <c r="E75" s="3"/>
      <c r="F75" s="3"/>
      <c r="G75" s="3"/>
      <c r="H75" s="3"/>
      <c r="I75" s="3"/>
    </row>
    <row r="85" spans="1:9" s="2" customFormat="1" ht="12.75" customHeight="1">
      <c r="A85" s="27"/>
      <c r="B85" s="3"/>
      <c r="C85" s="3"/>
      <c r="D85" s="3"/>
      <c r="E85" s="3"/>
      <c r="F85" s="3"/>
      <c r="G85" s="3"/>
      <c r="H85" s="3"/>
      <c r="I85" s="3"/>
    </row>
    <row r="150" spans="1:9" s="2" customFormat="1" ht="12.75" customHeight="1">
      <c r="A150" s="27"/>
      <c r="B150" s="3"/>
      <c r="C150" s="3"/>
      <c r="D150" s="3"/>
      <c r="E150" s="3"/>
      <c r="F150" s="3"/>
      <c r="G150" s="3"/>
      <c r="H150" s="3"/>
      <c r="I150" s="3"/>
    </row>
    <row r="183" spans="1:9" s="2" customFormat="1" ht="12.75" customHeight="1">
      <c r="A183" s="27"/>
      <c r="B183" s="3"/>
      <c r="C183" s="3"/>
      <c r="D183" s="3"/>
      <c r="E183" s="3"/>
      <c r="F183" s="3"/>
      <c r="G183" s="3"/>
      <c r="H183" s="3"/>
      <c r="I183" s="3"/>
    </row>
    <row r="214" spans="1:9" s="2" customFormat="1" ht="12.75" customHeight="1">
      <c r="A214" s="27"/>
      <c r="B214" s="3"/>
      <c r="C214" s="3"/>
      <c r="D214" s="3"/>
      <c r="E214" s="3"/>
      <c r="F214" s="3"/>
      <c r="G214" s="3"/>
      <c r="H214" s="3"/>
      <c r="I214" s="3"/>
    </row>
    <row r="223" spans="1:9" s="2" customFormat="1" ht="12.75" customHeight="1">
      <c r="A223" s="27"/>
      <c r="B223" s="3"/>
      <c r="C223" s="3"/>
      <c r="D223" s="3"/>
      <c r="E223" s="3"/>
      <c r="F223" s="3"/>
      <c r="G223" s="3"/>
      <c r="H223" s="3"/>
      <c r="I223" s="3"/>
    </row>
    <row r="254" spans="1:9" s="2" customFormat="1" ht="12.75" customHeight="1">
      <c r="A254" s="27"/>
      <c r="B254" s="3"/>
      <c r="C254" s="3"/>
      <c r="D254" s="3"/>
      <c r="E254" s="3"/>
      <c r="F254" s="3"/>
      <c r="G254" s="3"/>
      <c r="H254" s="3"/>
      <c r="I254" s="3"/>
    </row>
    <row r="258" ht="12.75" customHeight="1"/>
    <row r="275" spans="1:9" s="2" customFormat="1" ht="12.75" customHeight="1">
      <c r="A275" s="27"/>
      <c r="B275" s="3"/>
      <c r="C275" s="3"/>
      <c r="D275" s="3"/>
      <c r="E275" s="3"/>
      <c r="F275" s="3"/>
      <c r="G275" s="3"/>
      <c r="H275" s="3"/>
      <c r="I275" s="3"/>
    </row>
  </sheetData>
  <printOptions/>
  <pageMargins left="1" right="0.25" top="1" bottom="0.75" header="0.5" footer="0.25"/>
  <pageSetup fitToHeight="1" fitToWidth="1" horizontalDpi="300" verticalDpi="300" orientation="landscape" scale="91" r:id="rId1"/>
  <headerFooter alignWithMargins="0">
    <oddHeader>&amp;CThe University of Alabama in Huntsville
Unit Academic Reports 
</oddHeader>
    <oddFooter>&amp;L&amp;8Office of Institutional Research
&amp;D (np)
&amp;F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5"/>
  <sheetViews>
    <sheetView workbookViewId="0" topLeftCell="A1">
      <selection activeCell="A2" sqref="A2"/>
    </sheetView>
  </sheetViews>
  <sheetFormatPr defaultColWidth="9.140625" defaultRowHeight="12.75"/>
  <cols>
    <col min="1" max="1" width="25.7109375" style="0" customWidth="1"/>
    <col min="2" max="16" width="7.28125" style="0" customWidth="1"/>
  </cols>
  <sheetData>
    <row r="1" spans="1:4" ht="12.75">
      <c r="A1" s="59" t="s">
        <v>37</v>
      </c>
      <c r="B1" s="59"/>
      <c r="C1" s="59"/>
      <c r="D1" s="59"/>
    </row>
    <row r="3" spans="1:4" ht="12.75">
      <c r="A3" s="7" t="s">
        <v>11</v>
      </c>
      <c r="B3" s="3"/>
      <c r="C3" s="3"/>
      <c r="D3" s="3"/>
    </row>
    <row r="4" spans="1:4" ht="12.75">
      <c r="A4" s="26" t="s">
        <v>12</v>
      </c>
      <c r="B4" s="37" t="s">
        <v>16</v>
      </c>
      <c r="C4" s="37" t="s">
        <v>14</v>
      </c>
      <c r="D4" s="37" t="s">
        <v>15</v>
      </c>
    </row>
    <row r="5" spans="1:4" ht="12.75">
      <c r="A5" s="27"/>
      <c r="B5" s="10"/>
      <c r="C5" s="10"/>
      <c r="D5" s="10"/>
    </row>
    <row r="6" spans="1:4" ht="12.75">
      <c r="A6" s="17" t="s">
        <v>43</v>
      </c>
      <c r="B6" s="60">
        <v>0</v>
      </c>
      <c r="C6" s="60">
        <f>P27</f>
        <v>0</v>
      </c>
      <c r="D6" s="60">
        <v>0</v>
      </c>
    </row>
    <row r="7" spans="1:4" ht="12.75">
      <c r="A7" s="52" t="s">
        <v>46</v>
      </c>
      <c r="B7" s="60">
        <v>0</v>
      </c>
      <c r="C7" s="60">
        <f>P28</f>
        <v>1</v>
      </c>
      <c r="D7" s="60">
        <v>1</v>
      </c>
    </row>
    <row r="8" spans="1:4" ht="12.75">
      <c r="A8" s="52" t="s">
        <v>49</v>
      </c>
      <c r="B8" s="60">
        <v>0</v>
      </c>
      <c r="C8" s="60">
        <f>P29</f>
        <v>1</v>
      </c>
      <c r="D8" s="60">
        <v>2</v>
      </c>
    </row>
    <row r="9" spans="1:4" ht="12.75">
      <c r="A9" s="52" t="s">
        <v>58</v>
      </c>
      <c r="B9" s="60">
        <v>0</v>
      </c>
      <c r="C9" s="60">
        <v>0</v>
      </c>
      <c r="D9" s="60">
        <v>0</v>
      </c>
    </row>
    <row r="10" spans="1:4" ht="12.75">
      <c r="A10" s="52" t="s">
        <v>60</v>
      </c>
      <c r="B10" s="60">
        <v>0</v>
      </c>
      <c r="C10" s="60">
        <v>0</v>
      </c>
      <c r="D10" s="60">
        <v>0</v>
      </c>
    </row>
    <row r="11" spans="2:4" ht="12.75">
      <c r="B11" s="100"/>
      <c r="C11" s="100"/>
      <c r="D11" s="100"/>
    </row>
    <row r="12" spans="1:16" ht="12.75">
      <c r="A12" s="7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</row>
    <row r="13" spans="1:16" ht="12.75">
      <c r="A13" s="7"/>
      <c r="B13" s="34" t="s">
        <v>1</v>
      </c>
      <c r="C13" s="35"/>
      <c r="D13" s="34" t="s">
        <v>2</v>
      </c>
      <c r="E13" s="35"/>
      <c r="F13" s="34" t="s">
        <v>3</v>
      </c>
      <c r="G13" s="35"/>
      <c r="H13" s="34" t="s">
        <v>4</v>
      </c>
      <c r="I13" s="35"/>
      <c r="J13" s="34" t="s">
        <v>5</v>
      </c>
      <c r="K13" s="35"/>
      <c r="L13" s="34" t="s">
        <v>6</v>
      </c>
      <c r="M13" s="35"/>
      <c r="N13" s="34" t="s">
        <v>7</v>
      </c>
      <c r="O13" s="35"/>
      <c r="P13" s="30" t="s">
        <v>8</v>
      </c>
    </row>
    <row r="14" spans="1:16" ht="12.75">
      <c r="A14" s="7" t="s">
        <v>67</v>
      </c>
      <c r="B14" s="31" t="s">
        <v>9</v>
      </c>
      <c r="C14" s="32" t="s">
        <v>10</v>
      </c>
      <c r="D14" s="31" t="s">
        <v>9</v>
      </c>
      <c r="E14" s="32" t="s">
        <v>10</v>
      </c>
      <c r="F14" s="31" t="s">
        <v>9</v>
      </c>
      <c r="G14" s="32" t="s">
        <v>10</v>
      </c>
      <c r="H14" s="31" t="s">
        <v>9</v>
      </c>
      <c r="I14" s="32" t="s">
        <v>10</v>
      </c>
      <c r="J14" s="31" t="s">
        <v>9</v>
      </c>
      <c r="K14" s="32" t="s">
        <v>10</v>
      </c>
      <c r="L14" s="31" t="s">
        <v>9</v>
      </c>
      <c r="M14" s="32" t="s">
        <v>10</v>
      </c>
      <c r="N14" s="31" t="s">
        <v>9</v>
      </c>
      <c r="O14" s="32" t="s">
        <v>10</v>
      </c>
      <c r="P14" s="33" t="s">
        <v>7</v>
      </c>
    </row>
    <row r="15" spans="1:16" ht="12.75">
      <c r="A15" s="7"/>
      <c r="B15" s="14"/>
      <c r="C15" s="15"/>
      <c r="D15" s="14"/>
      <c r="E15" s="15"/>
      <c r="F15" s="14"/>
      <c r="G15" s="15"/>
      <c r="H15" s="14"/>
      <c r="I15" s="15"/>
      <c r="J15" s="14"/>
      <c r="K15" s="15"/>
      <c r="L15" s="14"/>
      <c r="M15" s="15"/>
      <c r="N15" s="14"/>
      <c r="O15" s="15"/>
      <c r="P15" s="16"/>
    </row>
    <row r="16" spans="1:16" ht="12.75">
      <c r="A16" s="17" t="s">
        <v>43</v>
      </c>
      <c r="B16" s="67">
        <v>1</v>
      </c>
      <c r="C16" s="69">
        <v>0</v>
      </c>
      <c r="D16" s="67">
        <v>0</v>
      </c>
      <c r="E16" s="68">
        <v>0</v>
      </c>
      <c r="F16" s="67">
        <v>0</v>
      </c>
      <c r="G16" s="68">
        <v>0</v>
      </c>
      <c r="H16" s="67">
        <v>0</v>
      </c>
      <c r="I16" s="68">
        <v>0</v>
      </c>
      <c r="J16" s="67">
        <v>0</v>
      </c>
      <c r="K16" s="68">
        <v>0</v>
      </c>
      <c r="L16" s="67">
        <v>0</v>
      </c>
      <c r="M16" s="68">
        <v>0</v>
      </c>
      <c r="N16" s="44">
        <f aca="true" t="shared" si="0" ref="N16:O20">L16+J16+H16+F16+D16+B16</f>
        <v>1</v>
      </c>
      <c r="O16" s="48">
        <f t="shared" si="0"/>
        <v>0</v>
      </c>
      <c r="P16" s="46">
        <f>O16+N16</f>
        <v>1</v>
      </c>
    </row>
    <row r="17" spans="1:16" ht="12.75">
      <c r="A17" s="52" t="s">
        <v>46</v>
      </c>
      <c r="B17" s="67">
        <v>1</v>
      </c>
      <c r="C17" s="69">
        <v>0</v>
      </c>
      <c r="D17" s="67">
        <v>0</v>
      </c>
      <c r="E17" s="68">
        <v>0</v>
      </c>
      <c r="F17" s="67">
        <v>0</v>
      </c>
      <c r="G17" s="68">
        <v>0</v>
      </c>
      <c r="H17" s="67">
        <v>0</v>
      </c>
      <c r="I17" s="68">
        <v>0</v>
      </c>
      <c r="J17" s="67">
        <v>0</v>
      </c>
      <c r="K17" s="68">
        <v>0</v>
      </c>
      <c r="L17" s="67">
        <v>0</v>
      </c>
      <c r="M17" s="68">
        <v>0</v>
      </c>
      <c r="N17" s="44">
        <f t="shared" si="0"/>
        <v>1</v>
      </c>
      <c r="O17" s="48">
        <f t="shared" si="0"/>
        <v>0</v>
      </c>
      <c r="P17" s="46">
        <f>O17+N17</f>
        <v>1</v>
      </c>
    </row>
    <row r="18" spans="1:16" ht="12.75">
      <c r="A18" s="52" t="s">
        <v>49</v>
      </c>
      <c r="B18" s="67">
        <v>0</v>
      </c>
      <c r="C18" s="69">
        <v>0</v>
      </c>
      <c r="D18" s="67">
        <v>0</v>
      </c>
      <c r="E18" s="68">
        <v>0</v>
      </c>
      <c r="F18" s="67">
        <v>0</v>
      </c>
      <c r="G18" s="68">
        <v>0</v>
      </c>
      <c r="H18" s="67">
        <v>0</v>
      </c>
      <c r="I18" s="68">
        <v>0</v>
      </c>
      <c r="J18" s="67">
        <v>0</v>
      </c>
      <c r="K18" s="68">
        <v>0</v>
      </c>
      <c r="L18" s="67">
        <v>1</v>
      </c>
      <c r="M18" s="68">
        <v>0</v>
      </c>
      <c r="N18" s="44">
        <f t="shared" si="0"/>
        <v>1</v>
      </c>
      <c r="O18" s="48">
        <f t="shared" si="0"/>
        <v>0</v>
      </c>
      <c r="P18" s="46">
        <f>O18+N18</f>
        <v>1</v>
      </c>
    </row>
    <row r="19" spans="1:16" ht="12.75">
      <c r="A19" s="52" t="s">
        <v>58</v>
      </c>
      <c r="B19" s="67">
        <v>0</v>
      </c>
      <c r="C19" s="69">
        <v>0</v>
      </c>
      <c r="D19" s="67">
        <v>0</v>
      </c>
      <c r="E19" s="69">
        <v>0</v>
      </c>
      <c r="F19" s="67">
        <v>0</v>
      </c>
      <c r="G19" s="69">
        <v>0</v>
      </c>
      <c r="H19" s="67">
        <v>0</v>
      </c>
      <c r="I19" s="69">
        <v>0</v>
      </c>
      <c r="J19" s="67">
        <v>0</v>
      </c>
      <c r="K19" s="69">
        <v>0</v>
      </c>
      <c r="L19" s="67">
        <v>0</v>
      </c>
      <c r="M19" s="69">
        <v>0</v>
      </c>
      <c r="N19" s="44">
        <f t="shared" si="0"/>
        <v>0</v>
      </c>
      <c r="O19" s="48">
        <f t="shared" si="0"/>
        <v>0</v>
      </c>
      <c r="P19" s="46">
        <f>O19+N19</f>
        <v>0</v>
      </c>
    </row>
    <row r="20" spans="1:16" ht="12.75">
      <c r="A20" s="52" t="s">
        <v>60</v>
      </c>
      <c r="B20" s="67">
        <v>0</v>
      </c>
      <c r="C20" s="69">
        <v>0</v>
      </c>
      <c r="D20" s="67">
        <v>0</v>
      </c>
      <c r="E20" s="69">
        <v>0</v>
      </c>
      <c r="F20" s="67">
        <v>0</v>
      </c>
      <c r="G20" s="69">
        <v>0</v>
      </c>
      <c r="H20" s="67">
        <v>0</v>
      </c>
      <c r="I20" s="69">
        <v>0</v>
      </c>
      <c r="J20" s="67">
        <v>0</v>
      </c>
      <c r="K20" s="69">
        <v>0</v>
      </c>
      <c r="L20" s="67">
        <v>1</v>
      </c>
      <c r="M20" s="69">
        <v>1</v>
      </c>
      <c r="N20" s="44">
        <f t="shared" si="0"/>
        <v>1</v>
      </c>
      <c r="O20" s="48">
        <f t="shared" si="0"/>
        <v>1</v>
      </c>
      <c r="P20" s="46">
        <f>O20+N20</f>
        <v>2</v>
      </c>
    </row>
    <row r="21" spans="1:16" ht="12.75">
      <c r="A21" s="7"/>
      <c r="B21" s="11"/>
      <c r="C21" s="20"/>
      <c r="D21" s="11"/>
      <c r="E21" s="20"/>
      <c r="F21" s="11"/>
      <c r="G21" s="20"/>
      <c r="H21" s="11"/>
      <c r="I21" s="20"/>
      <c r="J21" s="11"/>
      <c r="K21" s="20"/>
      <c r="L21" s="11"/>
      <c r="M21" s="20"/>
      <c r="N21" s="11"/>
      <c r="O21" s="20"/>
      <c r="P21" s="13"/>
    </row>
    <row r="23" spans="1:16" ht="12.75">
      <c r="A23" s="7" t="s">
        <v>11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</row>
    <row r="24" spans="1:16" ht="12.75">
      <c r="A24" s="7" t="s">
        <v>12</v>
      </c>
      <c r="B24" s="34" t="s">
        <v>1</v>
      </c>
      <c r="C24" s="35"/>
      <c r="D24" s="34" t="s">
        <v>2</v>
      </c>
      <c r="E24" s="35"/>
      <c r="F24" s="34" t="s">
        <v>3</v>
      </c>
      <c r="G24" s="35"/>
      <c r="H24" s="34" t="s">
        <v>4</v>
      </c>
      <c r="I24" s="35"/>
      <c r="J24" s="34" t="s">
        <v>5</v>
      </c>
      <c r="K24" s="35"/>
      <c r="L24" s="34" t="s">
        <v>6</v>
      </c>
      <c r="M24" s="35"/>
      <c r="N24" s="34" t="s">
        <v>7</v>
      </c>
      <c r="O24" s="35"/>
      <c r="P24" s="30" t="s">
        <v>8</v>
      </c>
    </row>
    <row r="25" spans="1:16" ht="12.75">
      <c r="A25" s="7" t="s">
        <v>13</v>
      </c>
      <c r="B25" s="31" t="s">
        <v>9</v>
      </c>
      <c r="C25" s="32" t="s">
        <v>10</v>
      </c>
      <c r="D25" s="31" t="s">
        <v>9</v>
      </c>
      <c r="E25" s="32" t="s">
        <v>10</v>
      </c>
      <c r="F25" s="31" t="s">
        <v>9</v>
      </c>
      <c r="G25" s="32" t="s">
        <v>10</v>
      </c>
      <c r="H25" s="31" t="s">
        <v>9</v>
      </c>
      <c r="I25" s="32" t="s">
        <v>10</v>
      </c>
      <c r="J25" s="31" t="s">
        <v>9</v>
      </c>
      <c r="K25" s="32" t="s">
        <v>10</v>
      </c>
      <c r="L25" s="31" t="s">
        <v>9</v>
      </c>
      <c r="M25" s="32" t="s">
        <v>10</v>
      </c>
      <c r="N25" s="31" t="s">
        <v>9</v>
      </c>
      <c r="O25" s="32" t="s">
        <v>10</v>
      </c>
      <c r="P25" s="33" t="s">
        <v>7</v>
      </c>
    </row>
    <row r="26" spans="1:16" ht="12.75">
      <c r="A26" s="7"/>
      <c r="B26" s="14"/>
      <c r="C26" s="15"/>
      <c r="D26" s="14"/>
      <c r="E26" s="15"/>
      <c r="F26" s="14"/>
      <c r="G26" s="15"/>
      <c r="H26" s="14"/>
      <c r="I26" s="15"/>
      <c r="J26" s="14"/>
      <c r="K26" s="15"/>
      <c r="L26" s="14"/>
      <c r="M26" s="15"/>
      <c r="N26" s="14"/>
      <c r="O26" s="15"/>
      <c r="P26" s="16"/>
    </row>
    <row r="27" spans="1:16" ht="12.75">
      <c r="A27" s="17" t="s">
        <v>43</v>
      </c>
      <c r="B27" s="67">
        <v>0</v>
      </c>
      <c r="C27" s="69">
        <v>0</v>
      </c>
      <c r="D27" s="67">
        <v>0</v>
      </c>
      <c r="E27" s="68">
        <v>0</v>
      </c>
      <c r="F27" s="67">
        <v>0</v>
      </c>
      <c r="G27" s="68">
        <v>0</v>
      </c>
      <c r="H27" s="67">
        <v>0</v>
      </c>
      <c r="I27" s="68">
        <v>0</v>
      </c>
      <c r="J27" s="67">
        <v>0</v>
      </c>
      <c r="K27" s="68">
        <v>0</v>
      </c>
      <c r="L27" s="67">
        <v>0</v>
      </c>
      <c r="M27" s="68">
        <v>0</v>
      </c>
      <c r="N27" s="44">
        <f aca="true" t="shared" si="1" ref="N27:O31">L27+J27+H27+F27+D27+B27</f>
        <v>0</v>
      </c>
      <c r="O27" s="48">
        <f t="shared" si="1"/>
        <v>0</v>
      </c>
      <c r="P27" s="46">
        <f>O27+N27</f>
        <v>0</v>
      </c>
    </row>
    <row r="28" spans="1:16" ht="12.75">
      <c r="A28" s="52" t="s">
        <v>46</v>
      </c>
      <c r="B28" s="67">
        <v>0</v>
      </c>
      <c r="C28" s="69">
        <v>0</v>
      </c>
      <c r="D28" s="67">
        <v>0</v>
      </c>
      <c r="E28" s="68">
        <v>0</v>
      </c>
      <c r="F28" s="67">
        <v>0</v>
      </c>
      <c r="G28" s="68">
        <v>0</v>
      </c>
      <c r="H28" s="67">
        <v>0</v>
      </c>
      <c r="I28" s="68">
        <v>0</v>
      </c>
      <c r="J28" s="67">
        <v>0</v>
      </c>
      <c r="K28" s="68">
        <v>0</v>
      </c>
      <c r="L28" s="67">
        <v>0</v>
      </c>
      <c r="M28" s="68">
        <v>1</v>
      </c>
      <c r="N28" s="44">
        <f t="shared" si="1"/>
        <v>0</v>
      </c>
      <c r="O28" s="48">
        <f t="shared" si="1"/>
        <v>1</v>
      </c>
      <c r="P28" s="46">
        <f>O28+N28</f>
        <v>1</v>
      </c>
    </row>
    <row r="29" spans="1:16" ht="12.75">
      <c r="A29" s="52" t="s">
        <v>49</v>
      </c>
      <c r="B29" s="67">
        <v>1</v>
      </c>
      <c r="C29" s="69">
        <v>0</v>
      </c>
      <c r="D29" s="67">
        <v>0</v>
      </c>
      <c r="E29" s="68">
        <v>0</v>
      </c>
      <c r="F29" s="67">
        <v>0</v>
      </c>
      <c r="G29" s="68">
        <v>0</v>
      </c>
      <c r="H29" s="67">
        <v>0</v>
      </c>
      <c r="I29" s="68">
        <v>0</v>
      </c>
      <c r="J29" s="67">
        <v>0</v>
      </c>
      <c r="K29" s="68">
        <v>0</v>
      </c>
      <c r="L29" s="67">
        <v>0</v>
      </c>
      <c r="M29" s="68">
        <v>0</v>
      </c>
      <c r="N29" s="44">
        <f t="shared" si="1"/>
        <v>1</v>
      </c>
      <c r="O29" s="48">
        <f t="shared" si="1"/>
        <v>0</v>
      </c>
      <c r="P29" s="46">
        <f>O29+N29</f>
        <v>1</v>
      </c>
    </row>
    <row r="30" spans="1:16" ht="12.75">
      <c r="A30" s="52" t="s">
        <v>58</v>
      </c>
      <c r="B30" s="67">
        <v>0</v>
      </c>
      <c r="C30" s="69">
        <v>0</v>
      </c>
      <c r="D30" s="67">
        <v>0</v>
      </c>
      <c r="E30" s="69">
        <v>0</v>
      </c>
      <c r="F30" s="67">
        <v>0</v>
      </c>
      <c r="G30" s="69">
        <v>0</v>
      </c>
      <c r="H30" s="67">
        <v>0</v>
      </c>
      <c r="I30" s="69">
        <v>0</v>
      </c>
      <c r="J30" s="67">
        <v>0</v>
      </c>
      <c r="K30" s="69">
        <v>0</v>
      </c>
      <c r="L30" s="67">
        <v>0</v>
      </c>
      <c r="M30" s="69">
        <v>0</v>
      </c>
      <c r="N30" s="44">
        <f t="shared" si="1"/>
        <v>0</v>
      </c>
      <c r="O30" s="48">
        <f t="shared" si="1"/>
        <v>0</v>
      </c>
      <c r="P30" s="46">
        <f>O30+N30</f>
        <v>0</v>
      </c>
    </row>
    <row r="31" spans="1:16" ht="12.75">
      <c r="A31" s="52" t="s">
        <v>60</v>
      </c>
      <c r="B31" s="67">
        <v>0</v>
      </c>
      <c r="C31" s="69">
        <v>0</v>
      </c>
      <c r="D31" s="67">
        <v>0</v>
      </c>
      <c r="E31" s="69">
        <v>0</v>
      </c>
      <c r="F31" s="67">
        <v>0</v>
      </c>
      <c r="G31" s="69">
        <v>0</v>
      </c>
      <c r="H31" s="67">
        <v>0</v>
      </c>
      <c r="I31" s="69">
        <v>0</v>
      </c>
      <c r="J31" s="67">
        <v>0</v>
      </c>
      <c r="K31" s="69">
        <v>0</v>
      </c>
      <c r="L31" s="67">
        <v>0</v>
      </c>
      <c r="M31" s="69">
        <v>0</v>
      </c>
      <c r="N31" s="44">
        <f t="shared" si="1"/>
        <v>0</v>
      </c>
      <c r="O31" s="48">
        <f t="shared" si="1"/>
        <v>0</v>
      </c>
      <c r="P31" s="46">
        <f>O31+N31</f>
        <v>0</v>
      </c>
    </row>
    <row r="32" spans="1:16" ht="12.75">
      <c r="A32" s="7"/>
      <c r="B32" s="11"/>
      <c r="C32" s="20"/>
      <c r="D32" s="11"/>
      <c r="E32" s="20"/>
      <c r="F32" s="11"/>
      <c r="G32" s="20"/>
      <c r="H32" s="11"/>
      <c r="I32" s="20"/>
      <c r="J32" s="11"/>
      <c r="K32" s="20"/>
      <c r="L32" s="11"/>
      <c r="M32" s="20"/>
      <c r="N32" s="11"/>
      <c r="O32" s="20"/>
      <c r="P32" s="13"/>
    </row>
    <row r="35" ht="12.75">
      <c r="A35" s="38"/>
    </row>
  </sheetData>
  <printOptions/>
  <pageMargins left="1" right="0.25" top="1" bottom="0.75" header="0.5" footer="0.25"/>
  <pageSetup fitToHeight="1" fitToWidth="1" horizontalDpi="300" verticalDpi="300" orientation="landscape" scale="94" r:id="rId1"/>
  <headerFooter alignWithMargins="0">
    <oddHeader>&amp;CThe University of Alabama in Huntsville
Unit Academic Reports 
</oddHeader>
    <oddFooter>&amp;L&amp;8Office of Institutional Research
&amp;D (np)
&amp;F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2"/>
  <sheetViews>
    <sheetView workbookViewId="0" topLeftCell="A1">
      <selection activeCell="C10" sqref="C10"/>
    </sheetView>
  </sheetViews>
  <sheetFormatPr defaultColWidth="9.140625" defaultRowHeight="12.75" customHeight="1"/>
  <cols>
    <col min="1" max="1" width="25.7109375" style="27" customWidth="1"/>
    <col min="2" max="8" width="14.7109375" style="3" customWidth="1"/>
    <col min="9" max="16384" width="9.140625" style="3" customWidth="1"/>
  </cols>
  <sheetData>
    <row r="1" spans="1:8" ht="12.75" customHeight="1">
      <c r="A1" s="1" t="s">
        <v>28</v>
      </c>
      <c r="F1"/>
      <c r="G1"/>
      <c r="H1"/>
    </row>
    <row r="3" spans="1:8" s="38" customFormat="1" ht="12.75" customHeight="1">
      <c r="A3" s="26" t="s">
        <v>48</v>
      </c>
      <c r="B3" s="40" t="s">
        <v>17</v>
      </c>
      <c r="C3" s="40" t="s">
        <v>17</v>
      </c>
      <c r="D3" s="40" t="s">
        <v>7</v>
      </c>
      <c r="E3" s="40" t="s">
        <v>11</v>
      </c>
      <c r="F3" s="40" t="s">
        <v>11</v>
      </c>
      <c r="G3" s="41" t="s">
        <v>7</v>
      </c>
      <c r="H3" s="41" t="s">
        <v>8</v>
      </c>
    </row>
    <row r="4" spans="1:8" s="38" customFormat="1" ht="12.75" customHeight="1">
      <c r="A4" s="26"/>
      <c r="B4" s="42" t="s">
        <v>18</v>
      </c>
      <c r="C4" s="42" t="s">
        <v>19</v>
      </c>
      <c r="D4" s="42" t="s">
        <v>17</v>
      </c>
      <c r="E4" s="42" t="s">
        <v>20</v>
      </c>
      <c r="F4" s="42" t="s">
        <v>21</v>
      </c>
      <c r="G4" s="43" t="s">
        <v>11</v>
      </c>
      <c r="H4" s="43" t="s">
        <v>7</v>
      </c>
    </row>
    <row r="5" spans="2:8" ht="12.75" customHeight="1">
      <c r="B5" s="4"/>
      <c r="C5" s="4"/>
      <c r="D5" s="4"/>
      <c r="E5" s="4"/>
      <c r="F5" s="4"/>
      <c r="G5" s="4"/>
      <c r="H5" s="10"/>
    </row>
    <row r="6" spans="1:8" ht="12.75" customHeight="1">
      <c r="A6" s="7" t="s">
        <v>43</v>
      </c>
      <c r="B6" s="50">
        <v>564</v>
      </c>
      <c r="C6" s="50">
        <v>44</v>
      </c>
      <c r="D6" s="50">
        <f>C6+B6</f>
        <v>608</v>
      </c>
      <c r="E6" s="50">
        <v>4</v>
      </c>
      <c r="F6" s="50">
        <v>0</v>
      </c>
      <c r="G6" s="50">
        <f>F6+E6</f>
        <v>4</v>
      </c>
      <c r="H6" s="51">
        <f>G6+D6</f>
        <v>612</v>
      </c>
    </row>
    <row r="7" spans="1:8" ht="12.75" customHeight="1">
      <c r="A7" s="52" t="s">
        <v>46</v>
      </c>
      <c r="B7" s="50">
        <f>32+312+296</f>
        <v>640</v>
      </c>
      <c r="C7" s="50">
        <f>15+15</f>
        <v>30</v>
      </c>
      <c r="D7" s="50">
        <f>C7+B7</f>
        <v>670</v>
      </c>
      <c r="E7" s="50">
        <v>3</v>
      </c>
      <c r="F7" s="50">
        <v>0</v>
      </c>
      <c r="G7" s="50">
        <f>F7+E7</f>
        <v>3</v>
      </c>
      <c r="H7" s="51">
        <f>G7+D7</f>
        <v>673</v>
      </c>
    </row>
    <row r="8" spans="1:8" ht="12.75" customHeight="1">
      <c r="A8" s="52" t="s">
        <v>49</v>
      </c>
      <c r="B8" s="50">
        <f>28+333+284</f>
        <v>645</v>
      </c>
      <c r="C8" s="50">
        <f>24+18</f>
        <v>42</v>
      </c>
      <c r="D8" s="50">
        <f>C8+B8</f>
        <v>687</v>
      </c>
      <c r="E8" s="50">
        <v>0</v>
      </c>
      <c r="F8" s="50">
        <v>0</v>
      </c>
      <c r="G8" s="50">
        <f>F8+E8</f>
        <v>0</v>
      </c>
      <c r="H8" s="51">
        <f>G8+D8</f>
        <v>687</v>
      </c>
    </row>
    <row r="9" spans="1:8" ht="12.75" customHeight="1">
      <c r="A9" s="52" t="s">
        <v>58</v>
      </c>
      <c r="B9" s="50">
        <v>591</v>
      </c>
      <c r="C9" s="50">
        <v>57</v>
      </c>
      <c r="D9" s="50">
        <f>C9+B9</f>
        <v>648</v>
      </c>
      <c r="E9" s="50">
        <v>36</v>
      </c>
      <c r="F9" s="50">
        <v>0</v>
      </c>
      <c r="G9" s="50">
        <f>F9+E9</f>
        <v>36</v>
      </c>
      <c r="H9" s="51">
        <f>G9+D9</f>
        <v>684</v>
      </c>
    </row>
    <row r="10" spans="1:8" ht="12.75" customHeight="1">
      <c r="A10" s="52" t="s">
        <v>60</v>
      </c>
      <c r="B10" s="50">
        <v>618</v>
      </c>
      <c r="C10" s="50">
        <v>150</v>
      </c>
      <c r="D10" s="50">
        <f>C10+B10</f>
        <v>768</v>
      </c>
      <c r="E10" s="50">
        <v>30</v>
      </c>
      <c r="F10" s="50">
        <v>0</v>
      </c>
      <c r="G10" s="50">
        <f>F10+E10</f>
        <v>30</v>
      </c>
      <c r="H10" s="51">
        <f>G10+D10</f>
        <v>798</v>
      </c>
    </row>
    <row r="11" spans="1:8" ht="12.75" customHeight="1">
      <c r="A11" s="28"/>
      <c r="B11" s="11"/>
      <c r="C11" s="11"/>
      <c r="D11" s="11"/>
      <c r="E11" s="11"/>
      <c r="F11" s="11"/>
      <c r="G11" s="11"/>
      <c r="H11" s="13"/>
    </row>
    <row r="12" spans="6:8" ht="12.75" customHeight="1">
      <c r="F12"/>
      <c r="G12"/>
      <c r="H12"/>
    </row>
    <row r="13" spans="1:8" s="38" customFormat="1" ht="12.75" customHeight="1">
      <c r="A13" s="26" t="s">
        <v>47</v>
      </c>
      <c r="B13" s="40" t="s">
        <v>17</v>
      </c>
      <c r="C13" s="40" t="s">
        <v>17</v>
      </c>
      <c r="D13" s="40" t="s">
        <v>7</v>
      </c>
      <c r="E13" s="40" t="s">
        <v>11</v>
      </c>
      <c r="F13" s="40" t="s">
        <v>22</v>
      </c>
      <c r="G13" s="40" t="s">
        <v>23</v>
      </c>
      <c r="H13" s="41" t="s">
        <v>8</v>
      </c>
    </row>
    <row r="14" spans="2:8" s="38" customFormat="1" ht="12.75" customHeight="1">
      <c r="B14" s="42" t="s">
        <v>18</v>
      </c>
      <c r="C14" s="42" t="s">
        <v>19</v>
      </c>
      <c r="D14" s="42" t="s">
        <v>17</v>
      </c>
      <c r="E14" s="42" t="s">
        <v>20</v>
      </c>
      <c r="F14" s="42" t="s">
        <v>21</v>
      </c>
      <c r="G14" s="42" t="s">
        <v>11</v>
      </c>
      <c r="H14" s="43" t="s">
        <v>7</v>
      </c>
    </row>
    <row r="15" spans="2:8" ht="12.75" customHeight="1">
      <c r="B15" s="14"/>
      <c r="C15" s="14"/>
      <c r="D15" s="14"/>
      <c r="E15" s="14"/>
      <c r="F15" s="14"/>
      <c r="G15" s="14"/>
      <c r="H15" s="16"/>
    </row>
    <row r="16" spans="1:8" ht="12.75" customHeight="1">
      <c r="A16" s="7" t="s">
        <v>43</v>
      </c>
      <c r="B16" s="23">
        <f>SUM(B6*1.07)</f>
        <v>603.48</v>
      </c>
      <c r="C16" s="23">
        <f>SUM(C6*1.45)</f>
        <v>63.8</v>
      </c>
      <c r="D16" s="23">
        <f>C16+B16</f>
        <v>667.28</v>
      </c>
      <c r="E16" s="23">
        <f>SUM(E6*3.23)</f>
        <v>12.92</v>
      </c>
      <c r="F16" s="23">
        <f>SUM(F6*10.33)</f>
        <v>0</v>
      </c>
      <c r="G16" s="23">
        <f>F16+E16</f>
        <v>12.92</v>
      </c>
      <c r="H16" s="24">
        <f>G16+D16</f>
        <v>680.1999999999999</v>
      </c>
    </row>
    <row r="17" spans="1:8" ht="12.75" customHeight="1">
      <c r="A17" s="52" t="s">
        <v>46</v>
      </c>
      <c r="B17" s="23">
        <f>SUM(B7*1.07)</f>
        <v>684.8000000000001</v>
      </c>
      <c r="C17" s="23">
        <f>SUM(C7*1.45)</f>
        <v>43.5</v>
      </c>
      <c r="D17" s="23">
        <f>C17+B17</f>
        <v>728.3000000000001</v>
      </c>
      <c r="E17" s="23">
        <f>SUM(E7*3.23)</f>
        <v>9.69</v>
      </c>
      <c r="F17" s="23">
        <f>SUM(F7*10.33)</f>
        <v>0</v>
      </c>
      <c r="G17" s="23">
        <f>F17+E17</f>
        <v>9.69</v>
      </c>
      <c r="H17" s="24">
        <f>G17+D17</f>
        <v>737.9900000000001</v>
      </c>
    </row>
    <row r="18" spans="1:8" ht="12.75" customHeight="1">
      <c r="A18" s="52" t="s">
        <v>49</v>
      </c>
      <c r="B18" s="23">
        <f>SUM(B8*1.07)</f>
        <v>690.1500000000001</v>
      </c>
      <c r="C18" s="23">
        <f>SUM(C8*1.45)</f>
        <v>60.9</v>
      </c>
      <c r="D18" s="23">
        <f>C18+B18</f>
        <v>751.0500000000001</v>
      </c>
      <c r="E18" s="23">
        <f>SUM(E8*3.23)</f>
        <v>0</v>
      </c>
      <c r="F18" s="23">
        <f>SUM(F8*10.33)</f>
        <v>0</v>
      </c>
      <c r="G18" s="23">
        <f>F18+E18</f>
        <v>0</v>
      </c>
      <c r="H18" s="24">
        <f>G18+D18</f>
        <v>751.0500000000001</v>
      </c>
    </row>
    <row r="19" spans="1:8" ht="12.75" customHeight="1">
      <c r="A19" s="52" t="s">
        <v>58</v>
      </c>
      <c r="B19" s="23">
        <f>SUM(B9*1.07)</f>
        <v>632.37</v>
      </c>
      <c r="C19" s="23">
        <f>SUM(C9*1.45)</f>
        <v>82.64999999999999</v>
      </c>
      <c r="D19" s="23">
        <f>C19+B19</f>
        <v>715.02</v>
      </c>
      <c r="E19" s="23">
        <f>SUM(E9*3.23)</f>
        <v>116.28</v>
      </c>
      <c r="F19" s="23">
        <f>SUM(F9*10.33)</f>
        <v>0</v>
      </c>
      <c r="G19" s="23">
        <f>F19+E19</f>
        <v>116.28</v>
      </c>
      <c r="H19" s="24">
        <f>G19+D19</f>
        <v>831.3</v>
      </c>
    </row>
    <row r="20" spans="1:8" ht="12.75" customHeight="1">
      <c r="A20" s="52" t="s">
        <v>60</v>
      </c>
      <c r="B20" s="23">
        <f>SUM(B10*1.07)</f>
        <v>661.26</v>
      </c>
      <c r="C20" s="23">
        <f>SUM(C10*1.45)</f>
        <v>217.5</v>
      </c>
      <c r="D20" s="23">
        <f>C20+B20</f>
        <v>878.76</v>
      </c>
      <c r="E20" s="23">
        <f>SUM(E10*3.23)</f>
        <v>96.9</v>
      </c>
      <c r="F20" s="23">
        <f>SUM(F10*10.33)</f>
        <v>0</v>
      </c>
      <c r="G20" s="23">
        <f>F20+E20</f>
        <v>96.9</v>
      </c>
      <c r="H20" s="24">
        <f>G20+D20</f>
        <v>975.66</v>
      </c>
    </row>
    <row r="21" spans="1:8" ht="12.75" customHeight="1">
      <c r="A21" s="28"/>
      <c r="B21" s="11"/>
      <c r="C21" s="11"/>
      <c r="D21" s="11"/>
      <c r="E21" s="11"/>
      <c r="F21" s="11"/>
      <c r="G21" s="11"/>
      <c r="H21" s="13"/>
    </row>
    <row r="24" ht="12.75" customHeight="1">
      <c r="A24" s="27" t="s">
        <v>50</v>
      </c>
    </row>
    <row r="25" ht="12.75" customHeight="1">
      <c r="A25" s="62" t="s">
        <v>39</v>
      </c>
    </row>
    <row r="32" spans="1:9" s="2" customFormat="1" ht="12.75" customHeight="1">
      <c r="A32" s="27"/>
      <c r="B32" s="3"/>
      <c r="C32" s="3"/>
      <c r="D32" s="3"/>
      <c r="E32" s="3"/>
      <c r="F32" s="3"/>
      <c r="G32" s="3"/>
      <c r="H32" s="3"/>
      <c r="I32" s="3"/>
    </row>
    <row r="42" spans="1:9" s="2" customFormat="1" ht="12.75" customHeight="1">
      <c r="A42" s="27"/>
      <c r="B42" s="3"/>
      <c r="C42" s="3"/>
      <c r="D42" s="3"/>
      <c r="E42" s="3"/>
      <c r="F42" s="3"/>
      <c r="G42" s="3"/>
      <c r="H42" s="3"/>
      <c r="I42" s="3"/>
    </row>
    <row r="107" spans="1:9" s="2" customFormat="1" ht="12.75" customHeight="1">
      <c r="A107" s="27"/>
      <c r="B107" s="3"/>
      <c r="C107" s="3"/>
      <c r="D107" s="3"/>
      <c r="E107" s="3"/>
      <c r="F107" s="3"/>
      <c r="G107" s="3"/>
      <c r="H107" s="3"/>
      <c r="I107" s="3"/>
    </row>
    <row r="140" spans="1:9" s="2" customFormat="1" ht="12.75" customHeight="1">
      <c r="A140" s="27"/>
      <c r="B140" s="3"/>
      <c r="C140" s="3"/>
      <c r="D140" s="3"/>
      <c r="E140" s="3"/>
      <c r="F140" s="3"/>
      <c r="G140" s="3"/>
      <c r="H140" s="3"/>
      <c r="I140" s="3"/>
    </row>
    <row r="171" spans="1:9" s="2" customFormat="1" ht="12.75" customHeight="1">
      <c r="A171" s="27"/>
      <c r="B171" s="3"/>
      <c r="C171" s="3"/>
      <c r="D171" s="3"/>
      <c r="E171" s="3"/>
      <c r="F171" s="3"/>
      <c r="G171" s="3"/>
      <c r="H171" s="3"/>
      <c r="I171" s="3"/>
    </row>
    <row r="180" spans="1:9" s="2" customFormat="1" ht="12.75" customHeight="1">
      <c r="A180" s="27"/>
      <c r="B180" s="3"/>
      <c r="C180" s="3"/>
      <c r="D180" s="3"/>
      <c r="E180" s="3"/>
      <c r="F180" s="3"/>
      <c r="G180" s="3"/>
      <c r="H180" s="3"/>
      <c r="I180" s="3"/>
    </row>
    <row r="211" spans="1:9" s="2" customFormat="1" ht="12.75" customHeight="1">
      <c r="A211" s="27"/>
      <c r="B211" s="3"/>
      <c r="C211" s="3"/>
      <c r="D211" s="3"/>
      <c r="E211" s="3"/>
      <c r="F211" s="3"/>
      <c r="G211" s="3"/>
      <c r="H211" s="3"/>
      <c r="I211" s="3"/>
    </row>
    <row r="215" ht="12.75" customHeight="1"/>
    <row r="232" spans="1:9" s="2" customFormat="1" ht="12.75" customHeight="1">
      <c r="A232" s="27"/>
      <c r="B232" s="3"/>
      <c r="C232" s="3"/>
      <c r="D232" s="3"/>
      <c r="E232" s="3"/>
      <c r="F232" s="3"/>
      <c r="G232" s="3"/>
      <c r="H232" s="3"/>
      <c r="I232" s="3"/>
    </row>
  </sheetData>
  <printOptions/>
  <pageMargins left="1" right="0.25" top="1" bottom="0.75" header="0.5" footer="0.25"/>
  <pageSetup fitToHeight="1" fitToWidth="1" horizontalDpi="300" verticalDpi="300" orientation="landscape" scale="97" r:id="rId1"/>
  <headerFooter alignWithMargins="0">
    <oddHeader>&amp;CThe University of Alabama in Huntsville
Unit Academic Reports 
</oddHeader>
    <oddFooter>&amp;L&amp;8Office of Institutional Research
&amp;D (np)
&amp;F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P136"/>
  <sheetViews>
    <sheetView workbookViewId="0" topLeftCell="A1">
      <selection activeCell="A2" sqref="A2"/>
    </sheetView>
  </sheetViews>
  <sheetFormatPr defaultColWidth="9.140625" defaultRowHeight="12.75" customHeight="1"/>
  <cols>
    <col min="1" max="1" width="18.7109375" style="3" customWidth="1"/>
    <col min="2" max="5" width="7.28125" style="3" customWidth="1"/>
    <col min="6" max="6" width="7.140625" style="3" customWidth="1"/>
    <col min="7" max="7" width="6.8515625" style="3" customWidth="1"/>
    <col min="8" max="8" width="6.7109375" style="3" customWidth="1"/>
    <col min="9" max="9" width="6.8515625" style="3" customWidth="1"/>
    <col min="10" max="10" width="6.57421875" style="3" customWidth="1"/>
    <col min="11" max="13" width="7.28125" style="3" customWidth="1"/>
    <col min="14" max="14" width="5.28125" style="3" customWidth="1"/>
    <col min="15" max="15" width="6.57421875" style="3" customWidth="1"/>
    <col min="16" max="16" width="7.28125" style="3" customWidth="1"/>
    <col min="17" max="16384" width="9.140625" style="3" customWidth="1"/>
  </cols>
  <sheetData>
    <row r="1" spans="1:2" ht="12.75" customHeight="1">
      <c r="A1" s="130" t="s">
        <v>61</v>
      </c>
      <c r="B1" s="130"/>
    </row>
    <row r="2" ht="12.75" customHeight="1">
      <c r="A2" s="1"/>
    </row>
    <row r="3" spans="1:16" ht="12.75" customHeight="1">
      <c r="A3"/>
      <c r="B3" s="34" t="s">
        <v>1</v>
      </c>
      <c r="C3" s="35"/>
      <c r="D3" s="34" t="s">
        <v>2</v>
      </c>
      <c r="E3" s="35"/>
      <c r="F3" s="34" t="s">
        <v>3</v>
      </c>
      <c r="G3" s="35"/>
      <c r="H3" s="34" t="s">
        <v>4</v>
      </c>
      <c r="I3" s="35"/>
      <c r="J3" s="34" t="s">
        <v>5</v>
      </c>
      <c r="K3" s="35"/>
      <c r="L3" s="127" t="s">
        <v>6</v>
      </c>
      <c r="M3" s="128"/>
      <c r="N3" s="34" t="s">
        <v>7</v>
      </c>
      <c r="O3" s="35"/>
      <c r="P3" s="30" t="s">
        <v>8</v>
      </c>
    </row>
    <row r="4" spans="1:16" ht="12.75" customHeight="1">
      <c r="A4" s="7" t="s">
        <v>64</v>
      </c>
      <c r="B4" s="31" t="s">
        <v>9</v>
      </c>
      <c r="C4" s="32" t="s">
        <v>10</v>
      </c>
      <c r="D4" s="31" t="s">
        <v>9</v>
      </c>
      <c r="E4" s="32" t="s">
        <v>10</v>
      </c>
      <c r="F4" s="31" t="s">
        <v>9</v>
      </c>
      <c r="G4" s="32" t="s">
        <v>10</v>
      </c>
      <c r="H4" s="31" t="s">
        <v>9</v>
      </c>
      <c r="I4" s="32" t="s">
        <v>10</v>
      </c>
      <c r="J4" s="31" t="s">
        <v>9</v>
      </c>
      <c r="K4" s="32" t="s">
        <v>10</v>
      </c>
      <c r="L4" s="31" t="s">
        <v>9</v>
      </c>
      <c r="M4" s="32" t="s">
        <v>10</v>
      </c>
      <c r="N4" s="31" t="s">
        <v>9</v>
      </c>
      <c r="O4" s="32" t="s">
        <v>10</v>
      </c>
      <c r="P4" s="33" t="s">
        <v>7</v>
      </c>
    </row>
    <row r="5" spans="1:16" ht="12" customHeight="1">
      <c r="A5"/>
      <c r="B5" s="4"/>
      <c r="C5" s="5"/>
      <c r="D5" s="4"/>
      <c r="E5" s="5"/>
      <c r="F5" s="4"/>
      <c r="G5" s="5"/>
      <c r="H5" s="4"/>
      <c r="I5" s="5"/>
      <c r="J5" s="4"/>
      <c r="K5" s="5"/>
      <c r="L5" s="4"/>
      <c r="M5" s="5"/>
      <c r="N5" s="4"/>
      <c r="O5" s="5"/>
      <c r="P5" s="10"/>
    </row>
    <row r="6" spans="1:16" ht="12.75" customHeight="1">
      <c r="A6" s="7" t="s">
        <v>43</v>
      </c>
      <c r="B6" s="44">
        <v>0</v>
      </c>
      <c r="C6" s="45">
        <v>0</v>
      </c>
      <c r="D6" s="44">
        <v>0</v>
      </c>
      <c r="E6" s="45">
        <v>0</v>
      </c>
      <c r="F6" s="44">
        <v>0</v>
      </c>
      <c r="G6" s="45">
        <v>0</v>
      </c>
      <c r="H6" s="44">
        <v>0</v>
      </c>
      <c r="I6" s="45">
        <v>0</v>
      </c>
      <c r="J6" s="44">
        <v>0</v>
      </c>
      <c r="K6" s="45">
        <v>0</v>
      </c>
      <c r="L6" s="44">
        <v>0</v>
      </c>
      <c r="M6" s="45">
        <v>0</v>
      </c>
      <c r="N6" s="44">
        <f aca="true" t="shared" si="0" ref="N6:O10">L6+J6+H6+F6+D6+B6</f>
        <v>0</v>
      </c>
      <c r="O6" s="45">
        <f t="shared" si="0"/>
        <v>0</v>
      </c>
      <c r="P6" s="46">
        <f>O6+N6</f>
        <v>0</v>
      </c>
    </row>
    <row r="7" spans="1:16" ht="12.75" customHeight="1">
      <c r="A7" s="52" t="s">
        <v>46</v>
      </c>
      <c r="B7" s="44">
        <v>0</v>
      </c>
      <c r="C7" s="45">
        <v>0</v>
      </c>
      <c r="D7" s="44">
        <v>0</v>
      </c>
      <c r="E7" s="45">
        <v>0</v>
      </c>
      <c r="F7" s="44">
        <v>0</v>
      </c>
      <c r="G7" s="45">
        <v>0</v>
      </c>
      <c r="H7" s="44">
        <v>0</v>
      </c>
      <c r="I7" s="45">
        <v>0</v>
      </c>
      <c r="J7" s="44">
        <v>0</v>
      </c>
      <c r="K7" s="45">
        <v>0</v>
      </c>
      <c r="L7" s="44">
        <v>0</v>
      </c>
      <c r="M7" s="45">
        <v>0</v>
      </c>
      <c r="N7" s="44">
        <f t="shared" si="0"/>
        <v>0</v>
      </c>
      <c r="O7" s="45">
        <f t="shared" si="0"/>
        <v>0</v>
      </c>
      <c r="P7" s="46">
        <f>O7+N7</f>
        <v>0</v>
      </c>
    </row>
    <row r="8" spans="1:16" ht="12.75" customHeight="1">
      <c r="A8" s="52" t="s">
        <v>49</v>
      </c>
      <c r="B8" s="44">
        <v>0</v>
      </c>
      <c r="C8" s="45">
        <v>0</v>
      </c>
      <c r="D8" s="44">
        <v>0</v>
      </c>
      <c r="E8" s="45">
        <v>0</v>
      </c>
      <c r="F8" s="44">
        <v>0</v>
      </c>
      <c r="G8" s="45">
        <v>0</v>
      </c>
      <c r="H8" s="44">
        <v>0</v>
      </c>
      <c r="I8" s="45">
        <v>0</v>
      </c>
      <c r="J8" s="44">
        <v>0</v>
      </c>
      <c r="K8" s="45">
        <v>0</v>
      </c>
      <c r="L8" s="44">
        <v>0</v>
      </c>
      <c r="M8" s="45">
        <v>0</v>
      </c>
      <c r="N8" s="44">
        <f t="shared" si="0"/>
        <v>0</v>
      </c>
      <c r="O8" s="45">
        <f t="shared" si="0"/>
        <v>0</v>
      </c>
      <c r="P8" s="46">
        <f>O8+N8</f>
        <v>0</v>
      </c>
    </row>
    <row r="9" spans="1:16" ht="12.75" customHeight="1">
      <c r="A9" s="52" t="s">
        <v>58</v>
      </c>
      <c r="B9" s="44">
        <v>0</v>
      </c>
      <c r="C9" s="45">
        <v>0</v>
      </c>
      <c r="D9" s="44">
        <v>0</v>
      </c>
      <c r="E9" s="45">
        <v>0</v>
      </c>
      <c r="F9" s="44">
        <v>0</v>
      </c>
      <c r="G9" s="45">
        <v>0</v>
      </c>
      <c r="H9" s="44">
        <v>0</v>
      </c>
      <c r="I9" s="45">
        <v>0</v>
      </c>
      <c r="J9" s="44">
        <v>0</v>
      </c>
      <c r="K9" s="45">
        <v>0</v>
      </c>
      <c r="L9" s="44">
        <v>0</v>
      </c>
      <c r="M9" s="45">
        <v>0</v>
      </c>
      <c r="N9" s="44">
        <f t="shared" si="0"/>
        <v>0</v>
      </c>
      <c r="O9" s="45">
        <f t="shared" si="0"/>
        <v>0</v>
      </c>
      <c r="P9" s="46">
        <f>O9+N9</f>
        <v>0</v>
      </c>
    </row>
    <row r="10" spans="1:16" ht="12.75" customHeight="1">
      <c r="A10" s="52" t="s">
        <v>60</v>
      </c>
      <c r="B10" s="44">
        <v>0</v>
      </c>
      <c r="C10" s="45">
        <v>0</v>
      </c>
      <c r="D10" s="44">
        <v>0</v>
      </c>
      <c r="E10" s="45">
        <v>0</v>
      </c>
      <c r="F10" s="44">
        <v>0</v>
      </c>
      <c r="G10" s="45">
        <v>0</v>
      </c>
      <c r="H10" s="44">
        <v>0</v>
      </c>
      <c r="I10" s="45">
        <v>0</v>
      </c>
      <c r="J10" s="44">
        <v>0</v>
      </c>
      <c r="K10" s="45">
        <v>0</v>
      </c>
      <c r="L10" s="44">
        <v>0</v>
      </c>
      <c r="M10" s="45">
        <v>0</v>
      </c>
      <c r="N10" s="44">
        <f t="shared" si="0"/>
        <v>0</v>
      </c>
      <c r="O10" s="45">
        <f t="shared" si="0"/>
        <v>0</v>
      </c>
      <c r="P10" s="46">
        <f>O10+N10</f>
        <v>0</v>
      </c>
    </row>
    <row r="11" spans="2:16" ht="12.75" customHeight="1">
      <c r="B11" s="11"/>
      <c r="C11" s="12"/>
      <c r="D11" s="11"/>
      <c r="E11" s="12"/>
      <c r="F11" s="11"/>
      <c r="G11" s="12"/>
      <c r="H11" s="11"/>
      <c r="I11" s="12"/>
      <c r="J11" s="11"/>
      <c r="K11" s="12"/>
      <c r="L11" s="11"/>
      <c r="M11" s="12"/>
      <c r="N11" s="11"/>
      <c r="O11" s="12"/>
      <c r="P11" s="13"/>
    </row>
    <row r="12" ht="12.75" customHeight="1">
      <c r="A12"/>
    </row>
    <row r="13" ht="12.75" customHeight="1">
      <c r="A13" s="7" t="s">
        <v>17</v>
      </c>
    </row>
    <row r="14" spans="1:16" ht="12.75" customHeight="1">
      <c r="A14" s="7" t="s">
        <v>12</v>
      </c>
      <c r="B14" s="34" t="s">
        <v>1</v>
      </c>
      <c r="C14" s="35"/>
      <c r="D14" s="34" t="s">
        <v>2</v>
      </c>
      <c r="E14" s="35"/>
      <c r="F14" s="34" t="s">
        <v>3</v>
      </c>
      <c r="G14" s="35"/>
      <c r="H14" s="34" t="s">
        <v>4</v>
      </c>
      <c r="I14" s="35"/>
      <c r="J14" s="34" t="s">
        <v>5</v>
      </c>
      <c r="K14" s="35"/>
      <c r="L14" s="127" t="s">
        <v>6</v>
      </c>
      <c r="M14" s="128"/>
      <c r="N14" s="34" t="s">
        <v>7</v>
      </c>
      <c r="O14" s="35"/>
      <c r="P14" s="30" t="s">
        <v>8</v>
      </c>
    </row>
    <row r="15" spans="1:16" ht="12.75" customHeight="1">
      <c r="A15" s="7" t="s">
        <v>13</v>
      </c>
      <c r="B15" s="31" t="s">
        <v>9</v>
      </c>
      <c r="C15" s="32" t="s">
        <v>10</v>
      </c>
      <c r="D15" s="31" t="s">
        <v>9</v>
      </c>
      <c r="E15" s="32" t="s">
        <v>10</v>
      </c>
      <c r="F15" s="31" t="s">
        <v>9</v>
      </c>
      <c r="G15" s="32" t="s">
        <v>10</v>
      </c>
      <c r="H15" s="31" t="s">
        <v>9</v>
      </c>
      <c r="I15" s="32" t="s">
        <v>10</v>
      </c>
      <c r="J15" s="31" t="s">
        <v>9</v>
      </c>
      <c r="K15" s="32" t="s">
        <v>10</v>
      </c>
      <c r="L15" s="31" t="s">
        <v>9</v>
      </c>
      <c r="M15" s="32" t="s">
        <v>10</v>
      </c>
      <c r="N15" s="31" t="s">
        <v>9</v>
      </c>
      <c r="O15" s="32" t="s">
        <v>10</v>
      </c>
      <c r="P15" s="33" t="s">
        <v>7</v>
      </c>
    </row>
    <row r="16" spans="1:16" ht="12.75" customHeight="1">
      <c r="A16" s="7"/>
      <c r="B16" s="14"/>
      <c r="C16" s="15"/>
      <c r="D16" s="14"/>
      <c r="E16" s="15"/>
      <c r="F16" s="14"/>
      <c r="G16" s="15"/>
      <c r="H16" s="14"/>
      <c r="I16" s="15"/>
      <c r="J16" s="14"/>
      <c r="K16" s="15"/>
      <c r="L16" s="14"/>
      <c r="M16" s="15"/>
      <c r="N16" s="14"/>
      <c r="O16" s="15"/>
      <c r="P16" s="16"/>
    </row>
    <row r="17" spans="1:16" s="2" customFormat="1" ht="12.75" customHeight="1">
      <c r="A17" s="17" t="s">
        <v>43</v>
      </c>
      <c r="B17" s="44">
        <v>0</v>
      </c>
      <c r="C17" s="45">
        <v>0</v>
      </c>
      <c r="D17" s="44">
        <v>0</v>
      </c>
      <c r="E17" s="45">
        <v>0</v>
      </c>
      <c r="F17" s="44">
        <v>0</v>
      </c>
      <c r="G17" s="45">
        <v>0</v>
      </c>
      <c r="H17" s="44">
        <v>0</v>
      </c>
      <c r="I17" s="45">
        <v>0</v>
      </c>
      <c r="J17" s="44">
        <v>0</v>
      </c>
      <c r="K17" s="45">
        <v>0</v>
      </c>
      <c r="L17" s="44">
        <v>0</v>
      </c>
      <c r="M17" s="45">
        <v>0</v>
      </c>
      <c r="N17" s="44">
        <f aca="true" t="shared" si="1" ref="N17:O19">L17+J17+H17+F17+D17+B17</f>
        <v>0</v>
      </c>
      <c r="O17" s="45">
        <f t="shared" si="1"/>
        <v>0</v>
      </c>
      <c r="P17" s="46">
        <f>O17+N17</f>
        <v>0</v>
      </c>
    </row>
    <row r="18" spans="1:16" s="2" customFormat="1" ht="12.75" customHeight="1">
      <c r="A18" s="52" t="s">
        <v>46</v>
      </c>
      <c r="B18" s="44">
        <v>0</v>
      </c>
      <c r="C18" s="45">
        <v>0</v>
      </c>
      <c r="D18" s="44">
        <v>0</v>
      </c>
      <c r="E18" s="45">
        <v>0</v>
      </c>
      <c r="F18" s="44">
        <v>0</v>
      </c>
      <c r="G18" s="45">
        <v>0</v>
      </c>
      <c r="H18" s="44">
        <v>0</v>
      </c>
      <c r="I18" s="45">
        <v>0</v>
      </c>
      <c r="J18" s="44">
        <v>0</v>
      </c>
      <c r="K18" s="45">
        <v>0</v>
      </c>
      <c r="L18" s="44">
        <v>0</v>
      </c>
      <c r="M18" s="45">
        <v>0</v>
      </c>
      <c r="N18" s="44">
        <f t="shared" si="1"/>
        <v>0</v>
      </c>
      <c r="O18" s="45">
        <f t="shared" si="1"/>
        <v>0</v>
      </c>
      <c r="P18" s="46">
        <f>O18+N18</f>
        <v>0</v>
      </c>
    </row>
    <row r="19" spans="1:16" s="2" customFormat="1" ht="12.75" customHeight="1">
      <c r="A19" s="52" t="s">
        <v>49</v>
      </c>
      <c r="B19" s="44">
        <v>0</v>
      </c>
      <c r="C19" s="45">
        <v>0</v>
      </c>
      <c r="D19" s="44">
        <v>0</v>
      </c>
      <c r="E19" s="45">
        <v>0</v>
      </c>
      <c r="F19" s="44">
        <v>0</v>
      </c>
      <c r="G19" s="45">
        <v>0</v>
      </c>
      <c r="H19" s="44">
        <v>0</v>
      </c>
      <c r="I19" s="45">
        <v>0</v>
      </c>
      <c r="J19" s="44">
        <v>0</v>
      </c>
      <c r="K19" s="45">
        <v>0</v>
      </c>
      <c r="L19" s="44">
        <v>0</v>
      </c>
      <c r="M19" s="45">
        <v>0</v>
      </c>
      <c r="N19" s="44">
        <f t="shared" si="1"/>
        <v>0</v>
      </c>
      <c r="O19" s="45">
        <f t="shared" si="1"/>
        <v>0</v>
      </c>
      <c r="P19" s="46">
        <f>O19+N19</f>
        <v>0</v>
      </c>
    </row>
    <row r="20" spans="1:16" s="2" customFormat="1" ht="12.75" customHeight="1">
      <c r="A20" s="52" t="s">
        <v>58</v>
      </c>
      <c r="B20" s="44">
        <v>0</v>
      </c>
      <c r="C20" s="45">
        <v>0</v>
      </c>
      <c r="D20" s="44">
        <v>0</v>
      </c>
      <c r="E20" s="45">
        <v>0</v>
      </c>
      <c r="F20" s="44">
        <v>0</v>
      </c>
      <c r="G20" s="45">
        <v>0</v>
      </c>
      <c r="H20" s="44">
        <v>0</v>
      </c>
      <c r="I20" s="45">
        <v>0</v>
      </c>
      <c r="J20" s="44">
        <v>0</v>
      </c>
      <c r="K20" s="45">
        <v>0</v>
      </c>
      <c r="L20" s="44">
        <v>0</v>
      </c>
      <c r="M20" s="45">
        <v>0</v>
      </c>
      <c r="N20" s="44">
        <v>0</v>
      </c>
      <c r="O20" s="45">
        <f>M20+K20+I20+G20+E20+C20</f>
        <v>0</v>
      </c>
      <c r="P20" s="46">
        <f>O20+N20</f>
        <v>0</v>
      </c>
    </row>
    <row r="21" spans="1:16" s="2" customFormat="1" ht="12.75" customHeight="1">
      <c r="A21" s="52" t="s">
        <v>60</v>
      </c>
      <c r="B21" s="44">
        <v>0</v>
      </c>
      <c r="C21" s="45">
        <v>0</v>
      </c>
      <c r="D21" s="44">
        <v>0</v>
      </c>
      <c r="E21" s="45">
        <v>0</v>
      </c>
      <c r="F21" s="44">
        <v>0</v>
      </c>
      <c r="G21" s="45">
        <v>0</v>
      </c>
      <c r="H21" s="44">
        <v>0</v>
      </c>
      <c r="I21" s="45">
        <v>0</v>
      </c>
      <c r="J21" s="44">
        <v>0</v>
      </c>
      <c r="K21" s="45">
        <v>0</v>
      </c>
      <c r="L21" s="44">
        <v>0</v>
      </c>
      <c r="M21" s="45">
        <v>0</v>
      </c>
      <c r="N21" s="44">
        <v>0</v>
      </c>
      <c r="O21" s="45">
        <f>M21+K21+I21+G21+E21+C21</f>
        <v>0</v>
      </c>
      <c r="P21" s="46">
        <f>O21+N21</f>
        <v>0</v>
      </c>
    </row>
    <row r="22" spans="2:16" ht="12.75" customHeight="1">
      <c r="B22" s="11"/>
      <c r="C22" s="12"/>
      <c r="D22" s="11"/>
      <c r="E22" s="12"/>
      <c r="F22" s="11"/>
      <c r="G22" s="12"/>
      <c r="H22" s="11"/>
      <c r="I22" s="12"/>
      <c r="J22" s="11"/>
      <c r="K22" s="12"/>
      <c r="L22" s="11"/>
      <c r="M22" s="12"/>
      <c r="N22" s="11"/>
      <c r="O22" s="12"/>
      <c r="P22" s="13"/>
    </row>
    <row r="24" ht="12.75" customHeight="1">
      <c r="A24" s="38"/>
    </row>
    <row r="25" ht="12.75" customHeight="1">
      <c r="A25" s="27"/>
    </row>
    <row r="61" spans="1:16" s="2" customFormat="1" ht="12.7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</row>
    <row r="71" spans="1:16" s="2" customFormat="1" ht="12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</row>
    <row r="82" spans="1:16" s="2" customFormat="1" ht="12.7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</row>
    <row r="95" spans="1:16" s="2" customFormat="1" ht="12.7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</row>
    <row r="136" spans="1:16" s="2" customFormat="1" ht="12.7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</row>
  </sheetData>
  <mergeCells count="3">
    <mergeCell ref="A1:B1"/>
    <mergeCell ref="L14:M14"/>
    <mergeCell ref="L3:M3"/>
  </mergeCells>
  <printOptions/>
  <pageMargins left="0.75" right="0.75" top="1" bottom="1" header="0.5" footer="0.5"/>
  <pageSetup horizontalDpi="600" verticalDpi="60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14"/>
  <sheetViews>
    <sheetView workbookViewId="0" topLeftCell="A1">
      <selection activeCell="A2" sqref="A2"/>
    </sheetView>
  </sheetViews>
  <sheetFormatPr defaultColWidth="9.140625" defaultRowHeight="12.75"/>
  <cols>
    <col min="1" max="1" width="19.421875" style="0" bestFit="1" customWidth="1"/>
    <col min="6" max="6" width="7.140625" style="0" customWidth="1"/>
    <col min="7" max="7" width="6.8515625" style="0" customWidth="1"/>
    <col min="8" max="8" width="6.7109375" style="0" customWidth="1"/>
    <col min="9" max="9" width="6.8515625" style="0" customWidth="1"/>
    <col min="10" max="10" width="6.57421875" style="0" customWidth="1"/>
    <col min="14" max="14" width="5.28125" style="0" customWidth="1"/>
    <col min="15" max="15" width="6.57421875" style="0" customWidth="1"/>
  </cols>
  <sheetData>
    <row r="1" spans="1:4" ht="12.75">
      <c r="A1" s="130" t="s">
        <v>61</v>
      </c>
      <c r="B1" s="130"/>
      <c r="C1" s="3"/>
      <c r="D1" s="3"/>
    </row>
    <row r="2" spans="1:4" ht="12.75">
      <c r="A2" s="27"/>
      <c r="B2" s="3"/>
      <c r="C2" s="3"/>
      <c r="D2" s="3"/>
    </row>
    <row r="3" spans="1:13" ht="12.75">
      <c r="A3" s="7" t="s">
        <v>17</v>
      </c>
      <c r="B3" s="3"/>
      <c r="C3" s="3"/>
      <c r="D3" s="3"/>
      <c r="L3" s="131"/>
      <c r="M3" s="131"/>
    </row>
    <row r="4" spans="1:4" ht="12.75">
      <c r="A4" s="7" t="s">
        <v>12</v>
      </c>
      <c r="B4" s="37" t="s">
        <v>16</v>
      </c>
      <c r="C4" s="37" t="s">
        <v>14</v>
      </c>
      <c r="D4" s="37" t="s">
        <v>15</v>
      </c>
    </row>
    <row r="5" spans="1:4" ht="12.75">
      <c r="A5" s="27"/>
      <c r="B5" s="10"/>
      <c r="C5" s="10"/>
      <c r="D5" s="10"/>
    </row>
    <row r="6" spans="1:4" ht="12.75">
      <c r="A6" s="7" t="s">
        <v>43</v>
      </c>
      <c r="B6" s="16">
        <v>0</v>
      </c>
      <c r="C6" s="16">
        <f>OPT!P17</f>
        <v>0</v>
      </c>
      <c r="D6" s="16">
        <v>0</v>
      </c>
    </row>
    <row r="7" spans="1:4" ht="12.75">
      <c r="A7" s="52" t="s">
        <v>46</v>
      </c>
      <c r="B7" s="16">
        <v>0</v>
      </c>
      <c r="C7" s="16">
        <f>OPT!P18</f>
        <v>0</v>
      </c>
      <c r="D7" s="16">
        <v>0</v>
      </c>
    </row>
    <row r="8" spans="1:4" ht="12.75">
      <c r="A8" s="52" t="s">
        <v>49</v>
      </c>
      <c r="B8" s="16">
        <v>0</v>
      </c>
      <c r="C8" s="16">
        <f>OPT!P19</f>
        <v>0</v>
      </c>
      <c r="D8" s="16">
        <v>0</v>
      </c>
    </row>
    <row r="9" spans="1:4" ht="12.75">
      <c r="A9" s="52" t="s">
        <v>58</v>
      </c>
      <c r="B9" s="16">
        <v>0</v>
      </c>
      <c r="C9" s="16">
        <f>OPT!P20</f>
        <v>0</v>
      </c>
      <c r="D9" s="16">
        <v>0</v>
      </c>
    </row>
    <row r="10" spans="1:4" ht="12.75">
      <c r="A10" s="52" t="s">
        <v>60</v>
      </c>
      <c r="B10" s="16">
        <v>0</v>
      </c>
      <c r="C10" s="16">
        <f>OPT!P21</f>
        <v>0</v>
      </c>
      <c r="D10" s="16">
        <v>13</v>
      </c>
    </row>
    <row r="11" spans="1:4" ht="12.75">
      <c r="A11" s="27"/>
      <c r="B11" s="13"/>
      <c r="C11" s="13"/>
      <c r="D11" s="13"/>
    </row>
    <row r="14" spans="12:13" ht="12.75">
      <c r="L14" s="131"/>
      <c r="M14" s="131"/>
    </row>
  </sheetData>
  <mergeCells count="3">
    <mergeCell ref="A1:B1"/>
    <mergeCell ref="L14:M14"/>
    <mergeCell ref="L3:M3"/>
  </mergeCells>
  <printOptions/>
  <pageMargins left="0.75" right="0.75" top="1" bottom="1" header="0.5" footer="0.5"/>
  <pageSetup horizontalDpi="600" verticalDpi="60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0"/>
  <sheetViews>
    <sheetView workbookViewId="0" topLeftCell="A1">
      <selection activeCell="A2" sqref="A2"/>
    </sheetView>
  </sheetViews>
  <sheetFormatPr defaultColWidth="9.140625" defaultRowHeight="10.5" customHeight="1"/>
  <cols>
    <col min="1" max="1" width="18.7109375" style="3" customWidth="1"/>
    <col min="2" max="18" width="7.28125" style="3" customWidth="1"/>
    <col min="19" max="16384" width="9.140625" style="3" customWidth="1"/>
  </cols>
  <sheetData>
    <row r="1" ht="10.5" customHeight="1">
      <c r="A1" s="18" t="s">
        <v>30</v>
      </c>
    </row>
    <row r="2" ht="10.5" customHeight="1">
      <c r="A2" s="18"/>
    </row>
    <row r="3" spans="1:18" ht="10.5" customHeight="1">
      <c r="A3"/>
      <c r="B3" s="34" t="s">
        <v>1</v>
      </c>
      <c r="C3" s="35"/>
      <c r="D3" s="34" t="s">
        <v>2</v>
      </c>
      <c r="E3" s="35"/>
      <c r="F3" s="34" t="s">
        <v>3</v>
      </c>
      <c r="G3" s="35"/>
      <c r="H3" s="34" t="s">
        <v>4</v>
      </c>
      <c r="I3" s="35"/>
      <c r="J3" s="34" t="s">
        <v>5</v>
      </c>
      <c r="K3" s="35"/>
      <c r="L3" s="34" t="s">
        <v>6</v>
      </c>
      <c r="M3" s="35"/>
      <c r="N3" s="34" t="s">
        <v>40</v>
      </c>
      <c r="O3" s="35"/>
      <c r="P3" s="34" t="s">
        <v>7</v>
      </c>
      <c r="Q3" s="35"/>
      <c r="R3" s="30" t="s">
        <v>8</v>
      </c>
    </row>
    <row r="4" spans="1:18" ht="10.5" customHeight="1">
      <c r="A4" s="7" t="s">
        <v>64</v>
      </c>
      <c r="B4" s="31" t="s">
        <v>9</v>
      </c>
      <c r="C4" s="32" t="s">
        <v>10</v>
      </c>
      <c r="D4" s="31" t="s">
        <v>9</v>
      </c>
      <c r="E4" s="32" t="s">
        <v>10</v>
      </c>
      <c r="F4" s="31" t="s">
        <v>9</v>
      </c>
      <c r="G4" s="32" t="s">
        <v>10</v>
      </c>
      <c r="H4" s="31" t="s">
        <v>9</v>
      </c>
      <c r="I4" s="32" t="s">
        <v>10</v>
      </c>
      <c r="J4" s="31" t="s">
        <v>9</v>
      </c>
      <c r="K4" s="32" t="s">
        <v>10</v>
      </c>
      <c r="L4" s="31" t="s">
        <v>9</v>
      </c>
      <c r="M4" s="32" t="s">
        <v>10</v>
      </c>
      <c r="N4" s="31" t="s">
        <v>9</v>
      </c>
      <c r="O4" s="32" t="s">
        <v>10</v>
      </c>
      <c r="P4" s="31" t="s">
        <v>9</v>
      </c>
      <c r="Q4" s="32" t="s">
        <v>10</v>
      </c>
      <c r="R4" s="33" t="s">
        <v>7</v>
      </c>
    </row>
    <row r="5" spans="1:18" ht="10.5" customHeight="1">
      <c r="A5"/>
      <c r="B5" s="4"/>
      <c r="C5" s="5"/>
      <c r="D5" s="4"/>
      <c r="E5" s="5"/>
      <c r="F5" s="4"/>
      <c r="G5" s="5"/>
      <c r="H5" s="4"/>
      <c r="I5" s="5"/>
      <c r="J5" s="4"/>
      <c r="K5" s="5"/>
      <c r="L5" s="4"/>
      <c r="M5" s="5"/>
      <c r="N5" s="4"/>
      <c r="O5" s="5"/>
      <c r="P5" s="4"/>
      <c r="Q5" s="5"/>
      <c r="R5" s="10"/>
    </row>
    <row r="6" spans="1:18" ht="10.5" customHeight="1">
      <c r="A6" s="17" t="s">
        <v>43</v>
      </c>
      <c r="B6" s="44">
        <v>4</v>
      </c>
      <c r="C6" s="45">
        <v>3</v>
      </c>
      <c r="D6" s="44">
        <v>0</v>
      </c>
      <c r="E6" s="45">
        <v>0</v>
      </c>
      <c r="F6" s="44">
        <v>0</v>
      </c>
      <c r="G6" s="45">
        <v>0</v>
      </c>
      <c r="H6" s="44">
        <v>0</v>
      </c>
      <c r="I6" s="45">
        <v>0</v>
      </c>
      <c r="J6" s="44">
        <v>0</v>
      </c>
      <c r="K6" s="45">
        <v>0</v>
      </c>
      <c r="L6" s="44">
        <v>0</v>
      </c>
      <c r="M6" s="45">
        <v>0</v>
      </c>
      <c r="N6" s="44">
        <v>0</v>
      </c>
      <c r="O6" s="45">
        <v>0</v>
      </c>
      <c r="P6" s="44">
        <f aca="true" t="shared" si="0" ref="P6:Q10">N6+L6+J6+H6+F6+D6+B6</f>
        <v>4</v>
      </c>
      <c r="Q6" s="45">
        <f t="shared" si="0"/>
        <v>3</v>
      </c>
      <c r="R6" s="46">
        <f>Q6+P6</f>
        <v>7</v>
      </c>
    </row>
    <row r="7" spans="1:18" ht="10.5" customHeight="1">
      <c r="A7" s="52" t="s">
        <v>46</v>
      </c>
      <c r="B7" s="44">
        <v>7</v>
      </c>
      <c r="C7" s="45">
        <v>4</v>
      </c>
      <c r="D7" s="44">
        <v>0</v>
      </c>
      <c r="E7" s="45">
        <v>1</v>
      </c>
      <c r="F7" s="44">
        <v>0</v>
      </c>
      <c r="G7" s="45">
        <v>0</v>
      </c>
      <c r="H7" s="44">
        <v>2</v>
      </c>
      <c r="I7" s="45">
        <v>0</v>
      </c>
      <c r="J7" s="44">
        <v>0</v>
      </c>
      <c r="K7" s="45">
        <v>0</v>
      </c>
      <c r="L7" s="44">
        <v>0</v>
      </c>
      <c r="M7" s="45">
        <v>0</v>
      </c>
      <c r="N7" s="44">
        <v>0</v>
      </c>
      <c r="O7" s="45">
        <v>0</v>
      </c>
      <c r="P7" s="44">
        <f t="shared" si="0"/>
        <v>9</v>
      </c>
      <c r="Q7" s="45">
        <f t="shared" si="0"/>
        <v>5</v>
      </c>
      <c r="R7" s="46">
        <f>Q7+P7</f>
        <v>14</v>
      </c>
    </row>
    <row r="8" spans="1:18" ht="10.5" customHeight="1">
      <c r="A8" s="52" t="s">
        <v>49</v>
      </c>
      <c r="B8" s="44">
        <v>8</v>
      </c>
      <c r="C8" s="45">
        <v>9</v>
      </c>
      <c r="D8" s="44">
        <v>0</v>
      </c>
      <c r="E8" s="45">
        <v>1</v>
      </c>
      <c r="F8" s="44">
        <v>0</v>
      </c>
      <c r="G8" s="45">
        <v>0</v>
      </c>
      <c r="H8" s="44">
        <v>0</v>
      </c>
      <c r="I8" s="45">
        <v>0</v>
      </c>
      <c r="J8" s="44">
        <v>0</v>
      </c>
      <c r="K8" s="45">
        <v>1</v>
      </c>
      <c r="L8" s="44">
        <v>0</v>
      </c>
      <c r="M8" s="45">
        <v>0</v>
      </c>
      <c r="N8" s="44">
        <v>0</v>
      </c>
      <c r="O8" s="45">
        <v>0</v>
      </c>
      <c r="P8" s="44">
        <f t="shared" si="0"/>
        <v>8</v>
      </c>
      <c r="Q8" s="45">
        <f t="shared" si="0"/>
        <v>11</v>
      </c>
      <c r="R8" s="46">
        <f>Q8+P8</f>
        <v>19</v>
      </c>
    </row>
    <row r="9" spans="1:18" ht="10.5" customHeight="1">
      <c r="A9" s="52" t="s">
        <v>58</v>
      </c>
      <c r="B9" s="44">
        <v>8</v>
      </c>
      <c r="C9" s="45">
        <v>4</v>
      </c>
      <c r="D9" s="44">
        <v>0</v>
      </c>
      <c r="E9" s="45">
        <v>0</v>
      </c>
      <c r="F9" s="44">
        <v>0</v>
      </c>
      <c r="G9" s="45">
        <v>0</v>
      </c>
      <c r="H9" s="44">
        <v>0</v>
      </c>
      <c r="I9" s="45">
        <v>0</v>
      </c>
      <c r="J9" s="44">
        <v>0</v>
      </c>
      <c r="K9" s="45">
        <v>0</v>
      </c>
      <c r="L9" s="44">
        <v>1</v>
      </c>
      <c r="M9" s="45">
        <v>0</v>
      </c>
      <c r="N9" s="44">
        <v>0</v>
      </c>
      <c r="O9" s="45">
        <v>1</v>
      </c>
      <c r="P9" s="44">
        <f t="shared" si="0"/>
        <v>9</v>
      </c>
      <c r="Q9" s="45">
        <f t="shared" si="0"/>
        <v>5</v>
      </c>
      <c r="R9" s="46">
        <f>Q9+P9</f>
        <v>14</v>
      </c>
    </row>
    <row r="10" spans="1:18" ht="10.5" customHeight="1">
      <c r="A10" s="52" t="s">
        <v>60</v>
      </c>
      <c r="B10" s="44">
        <v>8</v>
      </c>
      <c r="C10" s="45">
        <v>5</v>
      </c>
      <c r="D10" s="44">
        <v>0</v>
      </c>
      <c r="E10" s="45">
        <v>0</v>
      </c>
      <c r="F10" s="44">
        <v>0</v>
      </c>
      <c r="G10" s="45">
        <v>0</v>
      </c>
      <c r="H10" s="44">
        <v>0</v>
      </c>
      <c r="I10" s="45">
        <v>0</v>
      </c>
      <c r="J10" s="44">
        <v>0</v>
      </c>
      <c r="K10" s="45">
        <v>0</v>
      </c>
      <c r="L10" s="44">
        <v>0</v>
      </c>
      <c r="M10" s="45">
        <v>0</v>
      </c>
      <c r="N10" s="44">
        <v>0</v>
      </c>
      <c r="O10" s="45">
        <v>0</v>
      </c>
      <c r="P10" s="44">
        <f t="shared" si="0"/>
        <v>8</v>
      </c>
      <c r="Q10" s="45">
        <f t="shared" si="0"/>
        <v>5</v>
      </c>
      <c r="R10" s="46">
        <f>Q10+P10</f>
        <v>13</v>
      </c>
    </row>
    <row r="11" spans="2:18" ht="10.5" customHeight="1">
      <c r="B11" s="11"/>
      <c r="C11" s="12"/>
      <c r="D11" s="11"/>
      <c r="E11" s="12"/>
      <c r="F11" s="11"/>
      <c r="G11" s="12"/>
      <c r="H11" s="11"/>
      <c r="I11" s="12"/>
      <c r="J11" s="11"/>
      <c r="K11" s="12"/>
      <c r="L11" s="11"/>
      <c r="M11" s="12"/>
      <c r="N11" s="11"/>
      <c r="O11" s="12"/>
      <c r="P11" s="11"/>
      <c r="Q11" s="12"/>
      <c r="R11" s="13"/>
    </row>
    <row r="12" ht="10.5" customHeight="1">
      <c r="A12" s="18"/>
    </row>
    <row r="13" spans="1:18" ht="10.5" customHeight="1">
      <c r="A13"/>
      <c r="B13" s="34" t="s">
        <v>1</v>
      </c>
      <c r="C13" s="35"/>
      <c r="D13" s="34" t="s">
        <v>2</v>
      </c>
      <c r="E13" s="35"/>
      <c r="F13" s="34" t="s">
        <v>3</v>
      </c>
      <c r="G13" s="35"/>
      <c r="H13" s="34" t="s">
        <v>4</v>
      </c>
      <c r="I13" s="35"/>
      <c r="J13" s="34" t="s">
        <v>5</v>
      </c>
      <c r="K13" s="35"/>
      <c r="L13" s="34" t="s">
        <v>6</v>
      </c>
      <c r="M13" s="35"/>
      <c r="N13" s="34" t="s">
        <v>40</v>
      </c>
      <c r="O13" s="35"/>
      <c r="P13" s="34" t="s">
        <v>7</v>
      </c>
      <c r="Q13" s="35"/>
      <c r="R13" s="30" t="s">
        <v>8</v>
      </c>
    </row>
    <row r="14" spans="1:18" ht="10.5" customHeight="1">
      <c r="A14" s="54" t="s">
        <v>63</v>
      </c>
      <c r="B14" s="31" t="s">
        <v>9</v>
      </c>
      <c r="C14" s="32" t="s">
        <v>10</v>
      </c>
      <c r="D14" s="31" t="s">
        <v>9</v>
      </c>
      <c r="E14" s="32" t="s">
        <v>10</v>
      </c>
      <c r="F14" s="31" t="s">
        <v>9</v>
      </c>
      <c r="G14" s="32" t="s">
        <v>10</v>
      </c>
      <c r="H14" s="31" t="s">
        <v>9</v>
      </c>
      <c r="I14" s="32" t="s">
        <v>10</v>
      </c>
      <c r="J14" s="31" t="s">
        <v>9</v>
      </c>
      <c r="K14" s="32" t="s">
        <v>10</v>
      </c>
      <c r="L14" s="31" t="s">
        <v>9</v>
      </c>
      <c r="M14" s="32" t="s">
        <v>10</v>
      </c>
      <c r="N14" s="31" t="s">
        <v>9</v>
      </c>
      <c r="O14" s="32" t="s">
        <v>10</v>
      </c>
      <c r="P14" s="31" t="s">
        <v>9</v>
      </c>
      <c r="Q14" s="32" t="s">
        <v>10</v>
      </c>
      <c r="R14" s="33" t="s">
        <v>7</v>
      </c>
    </row>
    <row r="15" spans="1:18" ht="10.5" customHeight="1">
      <c r="A15"/>
      <c r="B15" s="4"/>
      <c r="C15" s="5"/>
      <c r="D15" s="4"/>
      <c r="E15" s="5"/>
      <c r="F15" s="4"/>
      <c r="G15" s="5"/>
      <c r="H15" s="4"/>
      <c r="I15" s="5"/>
      <c r="J15" s="4"/>
      <c r="K15" s="5"/>
      <c r="L15" s="4"/>
      <c r="M15" s="5"/>
      <c r="N15" s="4"/>
      <c r="O15" s="5"/>
      <c r="P15" s="4"/>
      <c r="Q15" s="5"/>
      <c r="R15" s="10"/>
    </row>
    <row r="16" spans="1:18" ht="10.5" customHeight="1">
      <c r="A16" s="17" t="s">
        <v>43</v>
      </c>
      <c r="B16" s="44">
        <v>3</v>
      </c>
      <c r="C16" s="45">
        <v>1</v>
      </c>
      <c r="D16" s="44">
        <v>0</v>
      </c>
      <c r="E16" s="45">
        <v>0</v>
      </c>
      <c r="F16" s="44">
        <v>0</v>
      </c>
      <c r="G16" s="45">
        <v>0</v>
      </c>
      <c r="H16" s="44">
        <v>1</v>
      </c>
      <c r="I16" s="45">
        <v>0</v>
      </c>
      <c r="J16" s="44">
        <v>0</v>
      </c>
      <c r="K16" s="45">
        <v>0</v>
      </c>
      <c r="L16" s="44">
        <v>1</v>
      </c>
      <c r="M16" s="45">
        <v>1</v>
      </c>
      <c r="N16" s="44">
        <v>0</v>
      </c>
      <c r="O16" s="45">
        <v>0</v>
      </c>
      <c r="P16" s="44">
        <f aca="true" t="shared" si="1" ref="P16:Q20">N16+L16+J16+H16+F16+D16+B16</f>
        <v>5</v>
      </c>
      <c r="Q16" s="45">
        <f t="shared" si="1"/>
        <v>2</v>
      </c>
      <c r="R16" s="46">
        <f>Q16+P16</f>
        <v>7</v>
      </c>
    </row>
    <row r="17" spans="1:18" ht="10.5" customHeight="1">
      <c r="A17" s="52" t="s">
        <v>46</v>
      </c>
      <c r="B17" s="44">
        <v>1</v>
      </c>
      <c r="C17" s="45">
        <v>0</v>
      </c>
      <c r="D17" s="44">
        <v>0</v>
      </c>
      <c r="E17" s="45">
        <v>0</v>
      </c>
      <c r="F17" s="44">
        <v>0</v>
      </c>
      <c r="G17" s="45">
        <v>0</v>
      </c>
      <c r="H17" s="44">
        <v>0</v>
      </c>
      <c r="I17" s="45">
        <v>0</v>
      </c>
      <c r="J17" s="44">
        <v>1</v>
      </c>
      <c r="K17" s="45">
        <v>0</v>
      </c>
      <c r="L17" s="44">
        <v>0</v>
      </c>
      <c r="M17" s="45">
        <v>0</v>
      </c>
      <c r="N17" s="44">
        <v>0</v>
      </c>
      <c r="O17" s="45">
        <v>0</v>
      </c>
      <c r="P17" s="44">
        <f t="shared" si="1"/>
        <v>2</v>
      </c>
      <c r="Q17" s="45">
        <f t="shared" si="1"/>
        <v>0</v>
      </c>
      <c r="R17" s="46">
        <f>Q17+P17</f>
        <v>2</v>
      </c>
    </row>
    <row r="18" spans="1:18" ht="10.5" customHeight="1">
      <c r="A18" s="52" t="s">
        <v>49</v>
      </c>
      <c r="B18" s="44">
        <v>4</v>
      </c>
      <c r="C18" s="45">
        <v>3</v>
      </c>
      <c r="D18" s="44">
        <v>0</v>
      </c>
      <c r="E18" s="45">
        <v>1</v>
      </c>
      <c r="F18" s="44">
        <v>0</v>
      </c>
      <c r="G18" s="45">
        <v>0</v>
      </c>
      <c r="H18" s="44">
        <v>0</v>
      </c>
      <c r="I18" s="45">
        <v>0</v>
      </c>
      <c r="J18" s="44">
        <v>0</v>
      </c>
      <c r="K18" s="45">
        <v>0</v>
      </c>
      <c r="L18" s="44">
        <v>2</v>
      </c>
      <c r="M18" s="45">
        <v>0</v>
      </c>
      <c r="N18" s="44">
        <v>0</v>
      </c>
      <c r="O18" s="45">
        <v>0</v>
      </c>
      <c r="P18" s="44">
        <f t="shared" si="1"/>
        <v>6</v>
      </c>
      <c r="Q18" s="45">
        <f t="shared" si="1"/>
        <v>4</v>
      </c>
      <c r="R18" s="46">
        <f>Q18+P18</f>
        <v>10</v>
      </c>
    </row>
    <row r="19" spans="1:18" ht="10.5" customHeight="1">
      <c r="A19" s="52" t="s">
        <v>58</v>
      </c>
      <c r="B19" s="44">
        <v>4</v>
      </c>
      <c r="C19" s="45">
        <v>0</v>
      </c>
      <c r="D19" s="44">
        <v>0</v>
      </c>
      <c r="E19" s="45">
        <v>0</v>
      </c>
      <c r="F19" s="44">
        <v>0</v>
      </c>
      <c r="G19" s="45">
        <v>0</v>
      </c>
      <c r="H19" s="44">
        <v>0</v>
      </c>
      <c r="I19" s="45">
        <v>0</v>
      </c>
      <c r="J19" s="44">
        <v>0</v>
      </c>
      <c r="K19" s="45">
        <v>0</v>
      </c>
      <c r="L19" s="44">
        <v>0</v>
      </c>
      <c r="M19" s="45">
        <v>2</v>
      </c>
      <c r="N19" s="44">
        <v>0</v>
      </c>
      <c r="O19" s="45">
        <v>0</v>
      </c>
      <c r="P19" s="44">
        <f t="shared" si="1"/>
        <v>4</v>
      </c>
      <c r="Q19" s="45">
        <f t="shared" si="1"/>
        <v>2</v>
      </c>
      <c r="R19" s="46">
        <f>Q19+P19</f>
        <v>6</v>
      </c>
    </row>
    <row r="20" spans="1:18" ht="10.5" customHeight="1">
      <c r="A20" s="52" t="s">
        <v>60</v>
      </c>
      <c r="B20" s="44">
        <v>3</v>
      </c>
      <c r="C20" s="45">
        <v>0</v>
      </c>
      <c r="D20" s="44">
        <v>0</v>
      </c>
      <c r="E20" s="45">
        <v>0</v>
      </c>
      <c r="F20" s="44">
        <v>0</v>
      </c>
      <c r="G20" s="45">
        <v>0</v>
      </c>
      <c r="H20" s="44">
        <v>0</v>
      </c>
      <c r="I20" s="45">
        <v>0</v>
      </c>
      <c r="J20" s="44">
        <v>0</v>
      </c>
      <c r="K20" s="45">
        <v>0</v>
      </c>
      <c r="L20" s="44">
        <v>0</v>
      </c>
      <c r="M20" s="45">
        <v>0</v>
      </c>
      <c r="N20" s="44">
        <v>0</v>
      </c>
      <c r="O20" s="45">
        <v>1</v>
      </c>
      <c r="P20" s="44">
        <f t="shared" si="1"/>
        <v>3</v>
      </c>
      <c r="Q20" s="45">
        <f t="shared" si="1"/>
        <v>1</v>
      </c>
      <c r="R20" s="46">
        <f>Q20+P20</f>
        <v>4</v>
      </c>
    </row>
    <row r="21" spans="2:18" ht="10.5" customHeight="1">
      <c r="B21" s="11"/>
      <c r="C21" s="12"/>
      <c r="D21" s="11"/>
      <c r="E21" s="12"/>
      <c r="F21" s="11"/>
      <c r="G21" s="12"/>
      <c r="H21" s="11"/>
      <c r="I21" s="12"/>
      <c r="J21" s="11"/>
      <c r="K21" s="12"/>
      <c r="L21" s="11"/>
      <c r="M21" s="12"/>
      <c r="N21" s="11"/>
      <c r="O21" s="12"/>
      <c r="P21" s="11"/>
      <c r="Q21" s="12"/>
      <c r="R21" s="13"/>
    </row>
    <row r="22" ht="10.5" customHeight="1">
      <c r="A22" s="18"/>
    </row>
    <row r="23" spans="1:18" ht="10.5" customHeight="1">
      <c r="A23"/>
      <c r="B23" s="34" t="s">
        <v>1</v>
      </c>
      <c r="C23" s="35"/>
      <c r="D23" s="34" t="s">
        <v>2</v>
      </c>
      <c r="E23" s="35"/>
      <c r="F23" s="34" t="s">
        <v>3</v>
      </c>
      <c r="G23" s="35"/>
      <c r="H23" s="34" t="s">
        <v>4</v>
      </c>
      <c r="I23" s="35"/>
      <c r="J23" s="34" t="s">
        <v>5</v>
      </c>
      <c r="K23" s="35"/>
      <c r="L23" s="34" t="s">
        <v>6</v>
      </c>
      <c r="M23" s="35"/>
      <c r="N23" s="34" t="s">
        <v>40</v>
      </c>
      <c r="O23" s="35"/>
      <c r="P23" s="34" t="s">
        <v>7</v>
      </c>
      <c r="Q23" s="35"/>
      <c r="R23" s="30" t="s">
        <v>8</v>
      </c>
    </row>
    <row r="24" spans="1:18" ht="10.5" customHeight="1">
      <c r="A24" s="7" t="s">
        <v>62</v>
      </c>
      <c r="B24" s="31" t="s">
        <v>9</v>
      </c>
      <c r="C24" s="32" t="s">
        <v>10</v>
      </c>
      <c r="D24" s="31" t="s">
        <v>9</v>
      </c>
      <c r="E24" s="32" t="s">
        <v>10</v>
      </c>
      <c r="F24" s="31" t="s">
        <v>9</v>
      </c>
      <c r="G24" s="32" t="s">
        <v>10</v>
      </c>
      <c r="H24" s="31" t="s">
        <v>9</v>
      </c>
      <c r="I24" s="32" t="s">
        <v>10</v>
      </c>
      <c r="J24" s="31" t="s">
        <v>9</v>
      </c>
      <c r="K24" s="32" t="s">
        <v>10</v>
      </c>
      <c r="L24" s="31" t="s">
        <v>9</v>
      </c>
      <c r="M24" s="32" t="s">
        <v>10</v>
      </c>
      <c r="N24" s="31" t="s">
        <v>9</v>
      </c>
      <c r="O24" s="32" t="s">
        <v>10</v>
      </c>
      <c r="P24" s="31" t="s">
        <v>9</v>
      </c>
      <c r="Q24" s="32" t="s">
        <v>10</v>
      </c>
      <c r="R24" s="33" t="s">
        <v>7</v>
      </c>
    </row>
    <row r="25" spans="1:18" ht="10.5" customHeight="1">
      <c r="A25"/>
      <c r="B25" s="4"/>
      <c r="C25" s="5"/>
      <c r="D25" s="4"/>
      <c r="E25" s="5"/>
      <c r="F25" s="4"/>
      <c r="G25" s="5"/>
      <c r="H25" s="4"/>
      <c r="I25" s="5"/>
      <c r="J25" s="4"/>
      <c r="K25" s="5"/>
      <c r="L25" s="4"/>
      <c r="M25" s="5"/>
      <c r="N25" s="4"/>
      <c r="O25" s="5"/>
      <c r="P25" s="4"/>
      <c r="Q25" s="5"/>
      <c r="R25" s="10"/>
    </row>
    <row r="26" spans="1:18" ht="10.5" customHeight="1">
      <c r="A26" s="17" t="s">
        <v>43</v>
      </c>
      <c r="B26" s="44">
        <v>1</v>
      </c>
      <c r="C26" s="45">
        <v>0</v>
      </c>
      <c r="D26" s="44">
        <v>0</v>
      </c>
      <c r="E26" s="45">
        <v>0</v>
      </c>
      <c r="F26" s="44">
        <v>0</v>
      </c>
      <c r="G26" s="45">
        <v>0</v>
      </c>
      <c r="H26" s="44">
        <v>0</v>
      </c>
      <c r="I26" s="45">
        <v>0</v>
      </c>
      <c r="J26" s="44">
        <v>0</v>
      </c>
      <c r="K26" s="45">
        <v>0</v>
      </c>
      <c r="L26" s="44">
        <v>0</v>
      </c>
      <c r="M26" s="45">
        <v>0</v>
      </c>
      <c r="N26" s="44">
        <v>0</v>
      </c>
      <c r="O26" s="45">
        <v>0</v>
      </c>
      <c r="P26" s="44">
        <f aca="true" t="shared" si="2" ref="P26:Q30">N26+L26+J26+H26+F26+D26+B26</f>
        <v>1</v>
      </c>
      <c r="Q26" s="45">
        <f t="shared" si="2"/>
        <v>0</v>
      </c>
      <c r="R26" s="46">
        <f>Q26+P26</f>
        <v>1</v>
      </c>
    </row>
    <row r="27" spans="1:18" ht="10.5" customHeight="1">
      <c r="A27" s="52" t="s">
        <v>46</v>
      </c>
      <c r="B27" s="44">
        <v>0</v>
      </c>
      <c r="C27" s="45">
        <v>0</v>
      </c>
      <c r="D27" s="44">
        <v>0</v>
      </c>
      <c r="E27" s="45">
        <v>0</v>
      </c>
      <c r="F27" s="44">
        <v>0</v>
      </c>
      <c r="G27" s="45">
        <v>0</v>
      </c>
      <c r="H27" s="44">
        <v>0</v>
      </c>
      <c r="I27" s="45">
        <v>0</v>
      </c>
      <c r="J27" s="44">
        <v>0</v>
      </c>
      <c r="K27" s="45">
        <v>0</v>
      </c>
      <c r="L27" s="44">
        <v>1</v>
      </c>
      <c r="M27" s="45">
        <v>0</v>
      </c>
      <c r="N27" s="44">
        <v>0</v>
      </c>
      <c r="O27" s="45">
        <v>0</v>
      </c>
      <c r="P27" s="44">
        <f t="shared" si="2"/>
        <v>1</v>
      </c>
      <c r="Q27" s="45">
        <f t="shared" si="2"/>
        <v>0</v>
      </c>
      <c r="R27" s="46">
        <f>Q27+P27</f>
        <v>1</v>
      </c>
    </row>
    <row r="28" spans="1:18" ht="10.5" customHeight="1">
      <c r="A28" s="52" t="s">
        <v>49</v>
      </c>
      <c r="B28" s="44">
        <v>0</v>
      </c>
      <c r="C28" s="45">
        <v>0</v>
      </c>
      <c r="D28" s="44">
        <v>0</v>
      </c>
      <c r="E28" s="45">
        <v>0</v>
      </c>
      <c r="F28" s="44">
        <v>0</v>
      </c>
      <c r="G28" s="45">
        <v>0</v>
      </c>
      <c r="H28" s="44">
        <v>0</v>
      </c>
      <c r="I28" s="45">
        <v>0</v>
      </c>
      <c r="J28" s="44">
        <v>0</v>
      </c>
      <c r="K28" s="45">
        <v>0</v>
      </c>
      <c r="L28" s="44">
        <v>0</v>
      </c>
      <c r="M28" s="45">
        <v>0</v>
      </c>
      <c r="N28" s="44">
        <v>0</v>
      </c>
      <c r="O28" s="45">
        <v>0</v>
      </c>
      <c r="P28" s="44">
        <f t="shared" si="2"/>
        <v>0</v>
      </c>
      <c r="Q28" s="45">
        <f t="shared" si="2"/>
        <v>0</v>
      </c>
      <c r="R28" s="46">
        <f>Q28+P28</f>
        <v>0</v>
      </c>
    </row>
    <row r="29" spans="1:18" ht="10.5" customHeight="1">
      <c r="A29" s="52" t="s">
        <v>58</v>
      </c>
      <c r="B29" s="44">
        <v>1</v>
      </c>
      <c r="C29" s="45">
        <v>2</v>
      </c>
      <c r="D29" s="44">
        <v>0</v>
      </c>
      <c r="E29" s="45">
        <v>0</v>
      </c>
      <c r="F29" s="44">
        <v>0</v>
      </c>
      <c r="G29" s="45">
        <v>0</v>
      </c>
      <c r="H29" s="44">
        <v>0</v>
      </c>
      <c r="I29" s="45">
        <v>0</v>
      </c>
      <c r="J29" s="44">
        <v>0</v>
      </c>
      <c r="K29" s="45">
        <v>0</v>
      </c>
      <c r="L29" s="44">
        <v>0</v>
      </c>
      <c r="M29" s="45">
        <v>0</v>
      </c>
      <c r="N29" s="44">
        <v>0</v>
      </c>
      <c r="O29" s="45">
        <v>0</v>
      </c>
      <c r="P29" s="44">
        <f t="shared" si="2"/>
        <v>1</v>
      </c>
      <c r="Q29" s="45">
        <f t="shared" si="2"/>
        <v>2</v>
      </c>
      <c r="R29" s="46">
        <f>Q29+P29</f>
        <v>3</v>
      </c>
    </row>
    <row r="30" spans="1:18" ht="10.5" customHeight="1">
      <c r="A30" s="52" t="s">
        <v>60</v>
      </c>
      <c r="B30" s="44">
        <v>0</v>
      </c>
      <c r="C30" s="45">
        <v>1</v>
      </c>
      <c r="D30" s="44">
        <v>0</v>
      </c>
      <c r="E30" s="45">
        <v>0</v>
      </c>
      <c r="F30" s="44">
        <v>0</v>
      </c>
      <c r="G30" s="45">
        <v>0</v>
      </c>
      <c r="H30" s="44">
        <v>0</v>
      </c>
      <c r="I30" s="45">
        <v>0</v>
      </c>
      <c r="J30" s="44">
        <v>1</v>
      </c>
      <c r="K30" s="45">
        <v>0</v>
      </c>
      <c r="L30" s="44">
        <v>0</v>
      </c>
      <c r="M30" s="45">
        <v>0</v>
      </c>
      <c r="N30" s="44">
        <v>0</v>
      </c>
      <c r="O30" s="45">
        <v>0</v>
      </c>
      <c r="P30" s="44">
        <f t="shared" si="2"/>
        <v>1</v>
      </c>
      <c r="Q30" s="45">
        <f t="shared" si="2"/>
        <v>1</v>
      </c>
      <c r="R30" s="46">
        <f>Q30+P30</f>
        <v>2</v>
      </c>
    </row>
    <row r="31" spans="2:18" ht="10.5" customHeight="1">
      <c r="B31" s="11"/>
      <c r="C31" s="12"/>
      <c r="D31" s="11"/>
      <c r="E31" s="12"/>
      <c r="F31" s="11"/>
      <c r="G31" s="12"/>
      <c r="H31" s="11"/>
      <c r="I31" s="12"/>
      <c r="J31" s="11"/>
      <c r="K31" s="12"/>
      <c r="L31" s="11"/>
      <c r="M31" s="12"/>
      <c r="N31" s="11"/>
      <c r="O31" s="12"/>
      <c r="P31" s="11"/>
      <c r="Q31" s="12"/>
      <c r="R31" s="13"/>
    </row>
    <row r="33" ht="10.5" customHeight="1">
      <c r="A33" s="7" t="s">
        <v>17</v>
      </c>
    </row>
    <row r="34" spans="1:18" ht="10.5" customHeight="1">
      <c r="A34" s="7" t="s">
        <v>12</v>
      </c>
      <c r="B34" s="34" t="s">
        <v>1</v>
      </c>
      <c r="C34" s="35"/>
      <c r="D34" s="34" t="s">
        <v>2</v>
      </c>
      <c r="E34" s="35"/>
      <c r="F34" s="34" t="s">
        <v>3</v>
      </c>
      <c r="G34" s="35"/>
      <c r="H34" s="34" t="s">
        <v>4</v>
      </c>
      <c r="I34" s="35"/>
      <c r="J34" s="34" t="s">
        <v>5</v>
      </c>
      <c r="K34" s="35"/>
      <c r="L34" s="34" t="s">
        <v>6</v>
      </c>
      <c r="M34" s="35"/>
      <c r="N34" s="34" t="s">
        <v>40</v>
      </c>
      <c r="O34" s="35"/>
      <c r="P34" s="34" t="s">
        <v>7</v>
      </c>
      <c r="Q34" s="35"/>
      <c r="R34" s="30" t="s">
        <v>8</v>
      </c>
    </row>
    <row r="35" spans="1:18" ht="10.5" customHeight="1">
      <c r="A35" s="7" t="s">
        <v>13</v>
      </c>
      <c r="B35" s="31" t="s">
        <v>9</v>
      </c>
      <c r="C35" s="32" t="s">
        <v>10</v>
      </c>
      <c r="D35" s="31" t="s">
        <v>9</v>
      </c>
      <c r="E35" s="32" t="s">
        <v>10</v>
      </c>
      <c r="F35" s="31" t="s">
        <v>9</v>
      </c>
      <c r="G35" s="32" t="s">
        <v>10</v>
      </c>
      <c r="H35" s="31" t="s">
        <v>9</v>
      </c>
      <c r="I35" s="32" t="s">
        <v>10</v>
      </c>
      <c r="J35" s="31" t="s">
        <v>9</v>
      </c>
      <c r="K35" s="32" t="s">
        <v>10</v>
      </c>
      <c r="L35" s="31" t="s">
        <v>9</v>
      </c>
      <c r="M35" s="32" t="s">
        <v>10</v>
      </c>
      <c r="N35" s="31" t="s">
        <v>9</v>
      </c>
      <c r="O35" s="32" t="s">
        <v>10</v>
      </c>
      <c r="P35" s="31" t="s">
        <v>9</v>
      </c>
      <c r="Q35" s="32" t="s">
        <v>10</v>
      </c>
      <c r="R35" s="33" t="s">
        <v>7</v>
      </c>
    </row>
    <row r="36" spans="1:18" ht="10.5" customHeight="1">
      <c r="A36" s="7"/>
      <c r="B36" s="14"/>
      <c r="C36" s="15"/>
      <c r="D36" s="14"/>
      <c r="E36" s="15"/>
      <c r="F36" s="14"/>
      <c r="G36" s="15"/>
      <c r="H36" s="14"/>
      <c r="I36" s="15"/>
      <c r="J36" s="14"/>
      <c r="K36" s="15"/>
      <c r="L36" s="14"/>
      <c r="M36" s="15"/>
      <c r="N36" s="4"/>
      <c r="O36" s="5"/>
      <c r="P36" s="4"/>
      <c r="Q36" s="5"/>
      <c r="R36" s="16"/>
    </row>
    <row r="37" spans="1:18" s="2" customFormat="1" ht="10.5" customHeight="1">
      <c r="A37" s="17" t="s">
        <v>43</v>
      </c>
      <c r="B37" s="44">
        <v>19</v>
      </c>
      <c r="C37" s="45">
        <v>20</v>
      </c>
      <c r="D37" s="44">
        <v>4</v>
      </c>
      <c r="E37" s="45">
        <v>3</v>
      </c>
      <c r="F37" s="44">
        <v>0</v>
      </c>
      <c r="G37" s="45">
        <v>1</v>
      </c>
      <c r="H37" s="44">
        <v>2</v>
      </c>
      <c r="I37" s="45">
        <v>0</v>
      </c>
      <c r="J37" s="44">
        <v>1</v>
      </c>
      <c r="K37" s="45">
        <v>0</v>
      </c>
      <c r="L37" s="44">
        <v>1</v>
      </c>
      <c r="M37" s="45">
        <v>0</v>
      </c>
      <c r="N37" s="44">
        <v>0</v>
      </c>
      <c r="O37" s="45">
        <v>0</v>
      </c>
      <c r="P37" s="44">
        <f aca="true" t="shared" si="3" ref="P37:Q41">N37+L37+J37+H37+F37+D37+B37</f>
        <v>27</v>
      </c>
      <c r="Q37" s="45">
        <f t="shared" si="3"/>
        <v>24</v>
      </c>
      <c r="R37" s="46">
        <f>Q37+P37</f>
        <v>51</v>
      </c>
    </row>
    <row r="38" spans="1:18" s="2" customFormat="1" ht="10.5" customHeight="1">
      <c r="A38" s="52" t="s">
        <v>46</v>
      </c>
      <c r="B38" s="44">
        <v>26</v>
      </c>
      <c r="C38" s="45">
        <v>23</v>
      </c>
      <c r="D38" s="44">
        <v>6</v>
      </c>
      <c r="E38" s="45">
        <v>2</v>
      </c>
      <c r="F38" s="44">
        <v>0</v>
      </c>
      <c r="G38" s="45">
        <v>1</v>
      </c>
      <c r="H38" s="44">
        <v>2</v>
      </c>
      <c r="I38" s="45">
        <v>0</v>
      </c>
      <c r="J38" s="44">
        <v>0</v>
      </c>
      <c r="K38" s="45">
        <v>0</v>
      </c>
      <c r="L38" s="44">
        <v>1</v>
      </c>
      <c r="M38" s="45">
        <v>0</v>
      </c>
      <c r="N38" s="44">
        <v>1</v>
      </c>
      <c r="O38" s="45">
        <v>1</v>
      </c>
      <c r="P38" s="44">
        <f t="shared" si="3"/>
        <v>36</v>
      </c>
      <c r="Q38" s="45">
        <f t="shared" si="3"/>
        <v>27</v>
      </c>
      <c r="R38" s="46">
        <f>Q38+P38</f>
        <v>63</v>
      </c>
    </row>
    <row r="39" spans="1:18" s="2" customFormat="1" ht="10.5" customHeight="1">
      <c r="A39" s="52" t="s">
        <v>49</v>
      </c>
      <c r="B39" s="44">
        <v>23</v>
      </c>
      <c r="C39" s="45">
        <v>29</v>
      </c>
      <c r="D39" s="44">
        <v>3</v>
      </c>
      <c r="E39" s="45">
        <v>1</v>
      </c>
      <c r="F39" s="44">
        <v>0</v>
      </c>
      <c r="G39" s="45">
        <v>1</v>
      </c>
      <c r="H39" s="44">
        <v>0</v>
      </c>
      <c r="I39" s="45">
        <v>1</v>
      </c>
      <c r="J39" s="44">
        <v>0</v>
      </c>
      <c r="K39" s="45">
        <v>1</v>
      </c>
      <c r="L39" s="44">
        <v>2</v>
      </c>
      <c r="M39" s="45">
        <v>0</v>
      </c>
      <c r="N39" s="44">
        <v>1</v>
      </c>
      <c r="O39" s="45">
        <v>1</v>
      </c>
      <c r="P39" s="44">
        <f t="shared" si="3"/>
        <v>29</v>
      </c>
      <c r="Q39" s="45">
        <f t="shared" si="3"/>
        <v>34</v>
      </c>
      <c r="R39" s="46">
        <f>Q39+P39</f>
        <v>63</v>
      </c>
    </row>
    <row r="40" spans="1:18" s="2" customFormat="1" ht="10.5" customHeight="1">
      <c r="A40" s="52" t="s">
        <v>58</v>
      </c>
      <c r="B40" s="44">
        <v>24</v>
      </c>
      <c r="C40" s="45">
        <v>25</v>
      </c>
      <c r="D40" s="44">
        <v>2</v>
      </c>
      <c r="E40" s="45">
        <v>1</v>
      </c>
      <c r="F40" s="44">
        <v>1</v>
      </c>
      <c r="G40" s="45">
        <v>1</v>
      </c>
      <c r="H40" s="44">
        <v>0</v>
      </c>
      <c r="I40" s="45">
        <v>1</v>
      </c>
      <c r="J40" s="44">
        <v>0</v>
      </c>
      <c r="K40" s="45">
        <v>1</v>
      </c>
      <c r="L40" s="44">
        <v>2</v>
      </c>
      <c r="M40" s="45">
        <v>1</v>
      </c>
      <c r="N40" s="44">
        <v>1</v>
      </c>
      <c r="O40" s="45">
        <v>1</v>
      </c>
      <c r="P40" s="44">
        <f t="shared" si="3"/>
        <v>30</v>
      </c>
      <c r="Q40" s="45">
        <f t="shared" si="3"/>
        <v>31</v>
      </c>
      <c r="R40" s="46">
        <f>Q40+P40</f>
        <v>61</v>
      </c>
    </row>
    <row r="41" spans="1:18" s="2" customFormat="1" ht="10.5" customHeight="1">
      <c r="A41" s="52" t="s">
        <v>60</v>
      </c>
      <c r="B41" s="44">
        <v>21</v>
      </c>
      <c r="C41" s="45">
        <v>29</v>
      </c>
      <c r="D41" s="44">
        <v>5</v>
      </c>
      <c r="E41" s="45">
        <v>2</v>
      </c>
      <c r="F41" s="44">
        <v>1</v>
      </c>
      <c r="G41" s="45">
        <v>1</v>
      </c>
      <c r="H41" s="44">
        <v>0</v>
      </c>
      <c r="I41" s="45">
        <v>1</v>
      </c>
      <c r="J41" s="44">
        <v>0</v>
      </c>
      <c r="K41" s="45">
        <v>2</v>
      </c>
      <c r="L41" s="44">
        <v>1</v>
      </c>
      <c r="M41" s="45">
        <v>0</v>
      </c>
      <c r="N41" s="44">
        <v>1</v>
      </c>
      <c r="O41" s="45">
        <v>1</v>
      </c>
      <c r="P41" s="44">
        <f t="shared" si="3"/>
        <v>29</v>
      </c>
      <c r="Q41" s="45">
        <f t="shared" si="3"/>
        <v>36</v>
      </c>
      <c r="R41" s="46">
        <f>Q41+P41</f>
        <v>65</v>
      </c>
    </row>
    <row r="42" spans="2:18" ht="10.5" customHeight="1">
      <c r="B42" s="11"/>
      <c r="C42" s="12"/>
      <c r="D42" s="11"/>
      <c r="E42" s="12"/>
      <c r="F42" s="11"/>
      <c r="G42" s="12"/>
      <c r="H42" s="11"/>
      <c r="I42" s="12"/>
      <c r="J42" s="11"/>
      <c r="K42" s="12"/>
      <c r="L42" s="11"/>
      <c r="M42" s="12"/>
      <c r="N42" s="11"/>
      <c r="O42" s="12"/>
      <c r="P42" s="11"/>
      <c r="Q42" s="12"/>
      <c r="R42" s="13"/>
    </row>
    <row r="43" spans="1:18" ht="10.5" customHeight="1">
      <c r="A43" s="7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</row>
    <row r="44" ht="10.5" customHeight="1">
      <c r="A44" s="7" t="s">
        <v>11</v>
      </c>
    </row>
    <row r="45" spans="1:18" ht="10.5" customHeight="1">
      <c r="A45" s="7" t="s">
        <v>12</v>
      </c>
      <c r="B45" s="34" t="s">
        <v>1</v>
      </c>
      <c r="C45" s="35"/>
      <c r="D45" s="34" t="s">
        <v>2</v>
      </c>
      <c r="E45" s="35"/>
      <c r="F45" s="34" t="s">
        <v>3</v>
      </c>
      <c r="G45" s="35"/>
      <c r="H45" s="34" t="s">
        <v>4</v>
      </c>
      <c r="I45" s="35"/>
      <c r="J45" s="34" t="s">
        <v>5</v>
      </c>
      <c r="K45" s="35"/>
      <c r="L45" s="34" t="s">
        <v>6</v>
      </c>
      <c r="M45" s="35"/>
      <c r="N45" s="34" t="s">
        <v>40</v>
      </c>
      <c r="O45" s="35"/>
      <c r="P45" s="34" t="s">
        <v>7</v>
      </c>
      <c r="Q45" s="35"/>
      <c r="R45" s="30" t="s">
        <v>8</v>
      </c>
    </row>
    <row r="46" spans="1:18" ht="10.5" customHeight="1">
      <c r="A46" s="7" t="s">
        <v>13</v>
      </c>
      <c r="B46" s="31" t="s">
        <v>9</v>
      </c>
      <c r="C46" s="32" t="s">
        <v>10</v>
      </c>
      <c r="D46" s="31" t="s">
        <v>9</v>
      </c>
      <c r="E46" s="32" t="s">
        <v>10</v>
      </c>
      <c r="F46" s="31" t="s">
        <v>9</v>
      </c>
      <c r="G46" s="32" t="s">
        <v>10</v>
      </c>
      <c r="H46" s="31" t="s">
        <v>9</v>
      </c>
      <c r="I46" s="32" t="s">
        <v>10</v>
      </c>
      <c r="J46" s="31" t="s">
        <v>9</v>
      </c>
      <c r="K46" s="32" t="s">
        <v>10</v>
      </c>
      <c r="L46" s="31" t="s">
        <v>9</v>
      </c>
      <c r="M46" s="32" t="s">
        <v>10</v>
      </c>
      <c r="N46" s="31" t="s">
        <v>9</v>
      </c>
      <c r="O46" s="32" t="s">
        <v>10</v>
      </c>
      <c r="P46" s="31" t="s">
        <v>9</v>
      </c>
      <c r="Q46" s="32" t="s">
        <v>10</v>
      </c>
      <c r="R46" s="33" t="s">
        <v>7</v>
      </c>
    </row>
    <row r="47" spans="1:18" ht="10.5" customHeight="1">
      <c r="A47" s="7"/>
      <c r="B47" s="14"/>
      <c r="C47" s="15"/>
      <c r="D47" s="14"/>
      <c r="E47" s="15"/>
      <c r="F47" s="14"/>
      <c r="G47" s="15"/>
      <c r="H47" s="14"/>
      <c r="I47" s="15"/>
      <c r="J47" s="14"/>
      <c r="K47" s="15"/>
      <c r="L47" s="14"/>
      <c r="M47" s="15"/>
      <c r="N47" s="4"/>
      <c r="O47" s="5"/>
      <c r="P47" s="4"/>
      <c r="Q47" s="5"/>
      <c r="R47" s="16"/>
    </row>
    <row r="48" spans="1:18" s="2" customFormat="1" ht="10.5" customHeight="1">
      <c r="A48" s="17" t="s">
        <v>43</v>
      </c>
      <c r="B48" s="44">
        <v>9</v>
      </c>
      <c r="C48" s="45">
        <v>7</v>
      </c>
      <c r="D48" s="44">
        <v>0</v>
      </c>
      <c r="E48" s="45">
        <v>2</v>
      </c>
      <c r="F48" s="44">
        <v>1</v>
      </c>
      <c r="G48" s="45">
        <v>0</v>
      </c>
      <c r="H48" s="44">
        <v>1</v>
      </c>
      <c r="I48" s="45">
        <v>0</v>
      </c>
      <c r="J48" s="44">
        <v>1</v>
      </c>
      <c r="K48" s="45">
        <v>0</v>
      </c>
      <c r="L48" s="44">
        <v>2</v>
      </c>
      <c r="M48" s="45">
        <v>1</v>
      </c>
      <c r="N48" s="44">
        <v>0</v>
      </c>
      <c r="O48" s="45">
        <v>0</v>
      </c>
      <c r="P48" s="44">
        <f aca="true" t="shared" si="4" ref="P48:Q52">N48+L48+J48+H48+F48+D48+B48</f>
        <v>14</v>
      </c>
      <c r="Q48" s="45">
        <f t="shared" si="4"/>
        <v>10</v>
      </c>
      <c r="R48" s="46">
        <f>Q48+P48</f>
        <v>24</v>
      </c>
    </row>
    <row r="49" spans="1:18" s="2" customFormat="1" ht="10.5" customHeight="1">
      <c r="A49" s="52" t="s">
        <v>69</v>
      </c>
      <c r="B49" s="44">
        <v>7</v>
      </c>
      <c r="C49" s="45">
        <v>8</v>
      </c>
      <c r="D49" s="44">
        <v>0</v>
      </c>
      <c r="E49" s="45">
        <v>1</v>
      </c>
      <c r="F49" s="44">
        <v>0</v>
      </c>
      <c r="G49" s="45">
        <v>0</v>
      </c>
      <c r="H49" s="44">
        <v>1</v>
      </c>
      <c r="I49" s="45">
        <v>1</v>
      </c>
      <c r="J49" s="44">
        <v>1</v>
      </c>
      <c r="K49" s="45">
        <v>0</v>
      </c>
      <c r="L49" s="44">
        <v>3</v>
      </c>
      <c r="M49" s="45">
        <v>4</v>
      </c>
      <c r="N49" s="44">
        <v>0</v>
      </c>
      <c r="O49" s="45">
        <v>0</v>
      </c>
      <c r="P49" s="44">
        <f t="shared" si="4"/>
        <v>12</v>
      </c>
      <c r="Q49" s="45">
        <f t="shared" si="4"/>
        <v>14</v>
      </c>
      <c r="R49" s="46">
        <f>Q49+P49</f>
        <v>26</v>
      </c>
    </row>
    <row r="50" spans="1:18" s="2" customFormat="1" ht="10.5" customHeight="1">
      <c r="A50" s="52" t="s">
        <v>70</v>
      </c>
      <c r="B50" s="44">
        <v>15</v>
      </c>
      <c r="C50" s="45">
        <v>6</v>
      </c>
      <c r="D50" s="44">
        <v>0</v>
      </c>
      <c r="E50" s="45">
        <v>1</v>
      </c>
      <c r="F50" s="44">
        <v>0</v>
      </c>
      <c r="G50" s="45">
        <v>0</v>
      </c>
      <c r="H50" s="44">
        <v>0</v>
      </c>
      <c r="I50" s="45">
        <v>0</v>
      </c>
      <c r="J50" s="44">
        <v>1</v>
      </c>
      <c r="K50" s="45">
        <v>0</v>
      </c>
      <c r="L50" s="44">
        <v>1</v>
      </c>
      <c r="M50" s="45">
        <v>5</v>
      </c>
      <c r="N50" s="44">
        <v>0</v>
      </c>
      <c r="O50" s="45">
        <v>1</v>
      </c>
      <c r="P50" s="44">
        <f t="shared" si="4"/>
        <v>17</v>
      </c>
      <c r="Q50" s="45">
        <f t="shared" si="4"/>
        <v>13</v>
      </c>
      <c r="R50" s="46">
        <f>Q50+P50</f>
        <v>30</v>
      </c>
    </row>
    <row r="51" spans="1:18" s="2" customFormat="1" ht="10.5" customHeight="1">
      <c r="A51" s="52" t="s">
        <v>71</v>
      </c>
      <c r="B51" s="44">
        <v>13</v>
      </c>
      <c r="C51" s="45">
        <v>6</v>
      </c>
      <c r="D51" s="44">
        <v>0</v>
      </c>
      <c r="E51" s="45">
        <v>2</v>
      </c>
      <c r="F51" s="44">
        <v>0</v>
      </c>
      <c r="G51" s="45">
        <v>0</v>
      </c>
      <c r="H51" s="44">
        <v>1</v>
      </c>
      <c r="I51" s="45">
        <v>1</v>
      </c>
      <c r="J51" s="44">
        <v>1</v>
      </c>
      <c r="K51" s="45">
        <v>0</v>
      </c>
      <c r="L51" s="44">
        <v>4</v>
      </c>
      <c r="M51" s="45">
        <v>3</v>
      </c>
      <c r="N51" s="44">
        <v>0</v>
      </c>
      <c r="O51" s="45">
        <v>1</v>
      </c>
      <c r="P51" s="44">
        <f t="shared" si="4"/>
        <v>19</v>
      </c>
      <c r="Q51" s="45">
        <f t="shared" si="4"/>
        <v>13</v>
      </c>
      <c r="R51" s="46">
        <f>Q51+P51</f>
        <v>32</v>
      </c>
    </row>
    <row r="52" spans="1:18" s="2" customFormat="1" ht="10.5" customHeight="1">
      <c r="A52" s="52" t="s">
        <v>72</v>
      </c>
      <c r="B52" s="44">
        <v>14</v>
      </c>
      <c r="C52" s="45">
        <v>5</v>
      </c>
      <c r="D52" s="44">
        <v>0</v>
      </c>
      <c r="E52" s="45">
        <v>4</v>
      </c>
      <c r="F52" s="44">
        <v>0</v>
      </c>
      <c r="G52" s="45">
        <v>0</v>
      </c>
      <c r="H52" s="44">
        <v>1</v>
      </c>
      <c r="I52" s="45">
        <v>0</v>
      </c>
      <c r="J52" s="44">
        <v>1</v>
      </c>
      <c r="K52" s="45">
        <v>0</v>
      </c>
      <c r="L52" s="44">
        <v>3</v>
      </c>
      <c r="M52" s="45">
        <v>3</v>
      </c>
      <c r="N52" s="44">
        <v>0</v>
      </c>
      <c r="O52" s="45">
        <v>1</v>
      </c>
      <c r="P52" s="44">
        <f t="shared" si="4"/>
        <v>19</v>
      </c>
      <c r="Q52" s="45">
        <f t="shared" si="4"/>
        <v>13</v>
      </c>
      <c r="R52" s="46">
        <f>Q52+P52</f>
        <v>32</v>
      </c>
    </row>
    <row r="53" spans="2:18" ht="10.5" customHeight="1">
      <c r="B53" s="11"/>
      <c r="C53" s="12"/>
      <c r="D53" s="11"/>
      <c r="E53" s="12"/>
      <c r="F53" s="11"/>
      <c r="G53" s="12"/>
      <c r="H53" s="11"/>
      <c r="I53" s="12"/>
      <c r="J53" s="11"/>
      <c r="K53" s="12"/>
      <c r="L53" s="11"/>
      <c r="M53" s="12"/>
      <c r="N53" s="11"/>
      <c r="O53" s="12"/>
      <c r="P53" s="11"/>
      <c r="Q53" s="12"/>
      <c r="R53" s="13"/>
    </row>
    <row r="56" ht="10.5" customHeight="1">
      <c r="A56" s="63" t="s">
        <v>68</v>
      </c>
    </row>
    <row r="72" spans="1:18" s="2" customFormat="1" ht="10.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</row>
    <row r="93" spans="1:18" s="2" customFormat="1" ht="10.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</row>
    <row r="114" spans="1:18" s="2" customFormat="1" ht="10.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</row>
    <row r="155" spans="1:18" s="2" customFormat="1" ht="10.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</row>
    <row r="165" spans="1:18" s="2" customFormat="1" ht="10.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</row>
    <row r="176" spans="1:18" s="2" customFormat="1" ht="10.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</row>
    <row r="189" spans="1:18" s="2" customFormat="1" ht="10.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</row>
    <row r="230" spans="1:18" s="2" customFormat="1" ht="10.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</row>
  </sheetData>
  <printOptions/>
  <pageMargins left="1" right="0.25" top="1" bottom="0.75" header="0.5" footer="0.25"/>
  <pageSetup fitToHeight="1" fitToWidth="1" horizontalDpi="300" verticalDpi="300" orientation="landscape" scale="86" r:id="rId3"/>
  <headerFooter alignWithMargins="0">
    <oddHeader>&amp;CThe University of Alabama in Huntsville
Unit Academic Reports 
</oddHeader>
    <oddFooter>&amp;L&amp;8Office of Institutional Research
&amp;D (np)
&amp;F</oddFooter>
  </headerFooter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8"/>
  <sheetViews>
    <sheetView workbookViewId="0" topLeftCell="A1">
      <selection activeCell="A2" sqref="A2"/>
    </sheetView>
  </sheetViews>
  <sheetFormatPr defaultColWidth="9.140625" defaultRowHeight="12.75" customHeight="1"/>
  <cols>
    <col min="1" max="1" width="25.7109375" style="27" customWidth="1"/>
    <col min="2" max="8" width="14.7109375" style="3" customWidth="1"/>
    <col min="9" max="16384" width="9.140625" style="3" customWidth="1"/>
  </cols>
  <sheetData>
    <row r="1" ht="12.75" customHeight="1">
      <c r="A1" s="1" t="s">
        <v>30</v>
      </c>
    </row>
    <row r="3" ht="12.75" customHeight="1">
      <c r="A3" s="7" t="s">
        <v>17</v>
      </c>
    </row>
    <row r="4" spans="1:4" s="38" customFormat="1" ht="12.75" customHeight="1">
      <c r="A4" s="26" t="s">
        <v>12</v>
      </c>
      <c r="B4" s="37" t="s">
        <v>16</v>
      </c>
      <c r="C4" s="37" t="s">
        <v>14</v>
      </c>
      <c r="D4" s="37" t="s">
        <v>15</v>
      </c>
    </row>
    <row r="5" spans="2:4" ht="12.75" customHeight="1">
      <c r="B5" s="10"/>
      <c r="C5" s="10"/>
      <c r="D5" s="10"/>
    </row>
    <row r="6" spans="1:4" s="2" customFormat="1" ht="12.75" customHeight="1">
      <c r="A6" s="7" t="s">
        <v>43</v>
      </c>
      <c r="B6" s="16">
        <v>30</v>
      </c>
      <c r="C6" s="16">
        <f>MA!R37</f>
        <v>51</v>
      </c>
      <c r="D6" s="16">
        <v>55</v>
      </c>
    </row>
    <row r="7" spans="1:4" s="2" customFormat="1" ht="12.75" customHeight="1">
      <c r="A7" s="52" t="s">
        <v>46</v>
      </c>
      <c r="B7" s="16">
        <v>40</v>
      </c>
      <c r="C7" s="16">
        <f>MA!R38</f>
        <v>63</v>
      </c>
      <c r="D7" s="16">
        <v>64</v>
      </c>
    </row>
    <row r="8" spans="1:4" s="2" customFormat="1" ht="12.75" customHeight="1">
      <c r="A8" s="52" t="s">
        <v>49</v>
      </c>
      <c r="B8" s="16">
        <v>33</v>
      </c>
      <c r="C8" s="16">
        <f>MA!R39</f>
        <v>63</v>
      </c>
      <c r="D8" s="16">
        <v>58</v>
      </c>
    </row>
    <row r="9" spans="1:4" s="2" customFormat="1" ht="12.75" customHeight="1">
      <c r="A9" s="52" t="s">
        <v>58</v>
      </c>
      <c r="B9" s="16">
        <v>28</v>
      </c>
      <c r="C9" s="16">
        <f>MA!R40</f>
        <v>61</v>
      </c>
      <c r="D9" s="16">
        <v>57</v>
      </c>
    </row>
    <row r="10" spans="1:4" s="2" customFormat="1" ht="12.75" customHeight="1">
      <c r="A10" s="52" t="s">
        <v>60</v>
      </c>
      <c r="B10" s="16">
        <v>38</v>
      </c>
      <c r="C10" s="16">
        <f>MA!R41</f>
        <v>65</v>
      </c>
      <c r="D10" s="16">
        <v>73</v>
      </c>
    </row>
    <row r="11" spans="2:4" ht="12.75" customHeight="1">
      <c r="B11" s="13"/>
      <c r="C11" s="13"/>
      <c r="D11" s="13"/>
    </row>
    <row r="13" spans="1:7" ht="12.75" customHeight="1">
      <c r="A13" s="7" t="s">
        <v>11</v>
      </c>
      <c r="E13"/>
      <c r="F13"/>
      <c r="G13"/>
    </row>
    <row r="14" spans="1:7" s="27" customFormat="1" ht="12.75" customHeight="1">
      <c r="A14" s="7" t="s">
        <v>12</v>
      </c>
      <c r="B14" s="37" t="s">
        <v>16</v>
      </c>
      <c r="C14" s="37" t="s">
        <v>14</v>
      </c>
      <c r="D14" s="37" t="s">
        <v>15</v>
      </c>
      <c r="E14" s="28"/>
      <c r="F14" s="28"/>
      <c r="G14" s="28"/>
    </row>
    <row r="15" spans="2:7" ht="12.75" customHeight="1">
      <c r="B15" s="10"/>
      <c r="C15" s="10"/>
      <c r="D15" s="10"/>
      <c r="E15"/>
      <c r="F15"/>
      <c r="G15"/>
    </row>
    <row r="16" spans="1:7" s="2" customFormat="1" ht="12.75" customHeight="1">
      <c r="A16" s="7" t="s">
        <v>43</v>
      </c>
      <c r="B16" s="16">
        <v>17</v>
      </c>
      <c r="C16" s="16">
        <f>MA!R48</f>
        <v>24</v>
      </c>
      <c r="D16" s="16">
        <v>20</v>
      </c>
      <c r="E16" s="25"/>
      <c r="F16" s="25"/>
      <c r="G16" s="25"/>
    </row>
    <row r="17" spans="1:7" s="2" customFormat="1" ht="12.75" customHeight="1">
      <c r="A17" s="52" t="s">
        <v>46</v>
      </c>
      <c r="B17" s="16">
        <v>13</v>
      </c>
      <c r="C17" s="16">
        <f>MA!R49</f>
        <v>26</v>
      </c>
      <c r="D17" s="16">
        <v>26</v>
      </c>
      <c r="E17" s="25"/>
      <c r="F17" s="25"/>
      <c r="G17" s="25"/>
    </row>
    <row r="18" spans="1:7" s="2" customFormat="1" ht="12.75" customHeight="1">
      <c r="A18" s="52" t="s">
        <v>49</v>
      </c>
      <c r="B18" s="16">
        <v>18</v>
      </c>
      <c r="C18" s="16">
        <f>MA!R50</f>
        <v>30</v>
      </c>
      <c r="D18" s="16">
        <v>33</v>
      </c>
      <c r="E18" s="25"/>
      <c r="F18" s="25"/>
      <c r="G18" s="25"/>
    </row>
    <row r="19" spans="1:7" s="2" customFormat="1" ht="12.75" customHeight="1">
      <c r="A19" s="52" t="s">
        <v>58</v>
      </c>
      <c r="B19" s="16">
        <v>21</v>
      </c>
      <c r="C19" s="16">
        <f>MA!R51</f>
        <v>32</v>
      </c>
      <c r="D19" s="16">
        <v>28</v>
      </c>
      <c r="E19" s="25"/>
      <c r="F19" s="25"/>
      <c r="G19" s="25"/>
    </row>
    <row r="20" spans="1:7" s="2" customFormat="1" ht="12.75" customHeight="1">
      <c r="A20" s="52" t="s">
        <v>60</v>
      </c>
      <c r="B20" s="16">
        <v>21</v>
      </c>
      <c r="C20" s="16">
        <f>MA!R52</f>
        <v>32</v>
      </c>
      <c r="D20" s="16">
        <v>34</v>
      </c>
      <c r="E20" s="25"/>
      <c r="F20" s="25"/>
      <c r="G20" s="25"/>
    </row>
    <row r="21" spans="1:7" ht="12.75" customHeight="1">
      <c r="A21" s="1"/>
      <c r="B21" s="13"/>
      <c r="C21" s="13"/>
      <c r="D21" s="13"/>
      <c r="E21"/>
      <c r="F21"/>
      <c r="G21"/>
    </row>
    <row r="23" spans="1:8" s="38" customFormat="1" ht="12.75" customHeight="1">
      <c r="A23" s="26" t="s">
        <v>48</v>
      </c>
      <c r="B23" s="40" t="s">
        <v>17</v>
      </c>
      <c r="C23" s="40" t="s">
        <v>17</v>
      </c>
      <c r="D23" s="40" t="s">
        <v>7</v>
      </c>
      <c r="E23" s="40" t="s">
        <v>11</v>
      </c>
      <c r="F23" s="40" t="s">
        <v>11</v>
      </c>
      <c r="G23" s="41" t="s">
        <v>7</v>
      </c>
      <c r="H23" s="41" t="s">
        <v>8</v>
      </c>
    </row>
    <row r="24" spans="1:8" s="38" customFormat="1" ht="12.75" customHeight="1">
      <c r="A24" s="26"/>
      <c r="B24" s="42" t="s">
        <v>18</v>
      </c>
      <c r="C24" s="42" t="s">
        <v>19</v>
      </c>
      <c r="D24" s="42" t="s">
        <v>17</v>
      </c>
      <c r="E24" s="42" t="s">
        <v>20</v>
      </c>
      <c r="F24" s="42" t="s">
        <v>21</v>
      </c>
      <c r="G24" s="43" t="s">
        <v>11</v>
      </c>
      <c r="H24" s="43" t="s">
        <v>7</v>
      </c>
    </row>
    <row r="25" spans="2:8" ht="12.75" customHeight="1">
      <c r="B25" s="4"/>
      <c r="C25" s="4"/>
      <c r="D25" s="4"/>
      <c r="E25" s="4"/>
      <c r="F25" s="4"/>
      <c r="G25" s="4"/>
      <c r="H25" s="10"/>
    </row>
    <row r="26" spans="1:8" ht="12.75" customHeight="1">
      <c r="A26" s="7" t="s">
        <v>43</v>
      </c>
      <c r="B26" s="50">
        <v>13133</v>
      </c>
      <c r="C26" s="50">
        <v>1316</v>
      </c>
      <c r="D26" s="50">
        <f>C26+B26</f>
        <v>14449</v>
      </c>
      <c r="E26" s="50">
        <v>557</v>
      </c>
      <c r="F26" s="50">
        <v>52</v>
      </c>
      <c r="G26" s="50">
        <f>F26+E26</f>
        <v>609</v>
      </c>
      <c r="H26" s="51">
        <f>G26+D26</f>
        <v>15058</v>
      </c>
    </row>
    <row r="27" spans="1:8" ht="12.75" customHeight="1">
      <c r="A27" s="52" t="s">
        <v>46</v>
      </c>
      <c r="B27" s="50">
        <f>1871+6563+5169</f>
        <v>13603</v>
      </c>
      <c r="C27" s="50">
        <f>189+448+480</f>
        <v>1117</v>
      </c>
      <c r="D27" s="50">
        <f>C27+B27</f>
        <v>14720</v>
      </c>
      <c r="E27" s="50">
        <f>66+245+360</f>
        <v>671</v>
      </c>
      <c r="F27" s="50">
        <f>6+22+14</f>
        <v>42</v>
      </c>
      <c r="G27" s="50">
        <f>F27+E27</f>
        <v>713</v>
      </c>
      <c r="H27" s="51">
        <f>G27+D27</f>
        <v>15433</v>
      </c>
    </row>
    <row r="28" spans="1:8" ht="12.75" customHeight="1">
      <c r="A28" s="52" t="s">
        <v>49</v>
      </c>
      <c r="B28" s="50">
        <f>1839+6396+5102</f>
        <v>13337</v>
      </c>
      <c r="C28" s="50">
        <f>276+403+481</f>
        <v>1160</v>
      </c>
      <c r="D28" s="50">
        <f>C28+B28</f>
        <v>14497</v>
      </c>
      <c r="E28" s="50">
        <f>108+275+276</f>
        <v>659</v>
      </c>
      <c r="F28" s="50">
        <f>9+33+54</f>
        <v>96</v>
      </c>
      <c r="G28" s="50">
        <f>F28+E28</f>
        <v>755</v>
      </c>
      <c r="H28" s="51">
        <f>G28+D28</f>
        <v>15252</v>
      </c>
    </row>
    <row r="29" spans="1:8" ht="12.75" customHeight="1">
      <c r="A29" s="52" t="s">
        <v>58</v>
      </c>
      <c r="B29" s="50">
        <v>13335</v>
      </c>
      <c r="C29" s="50">
        <v>1120</v>
      </c>
      <c r="D29" s="50">
        <f>C29+B29</f>
        <v>14455</v>
      </c>
      <c r="E29" s="50">
        <v>495</v>
      </c>
      <c r="F29" s="50">
        <v>123</v>
      </c>
      <c r="G29" s="50">
        <f>F29+E29</f>
        <v>618</v>
      </c>
      <c r="H29" s="51">
        <f>G29+D29</f>
        <v>15073</v>
      </c>
    </row>
    <row r="30" spans="1:8" ht="12.75" customHeight="1">
      <c r="A30" s="52" t="s">
        <v>60</v>
      </c>
      <c r="B30" s="50">
        <v>14327</v>
      </c>
      <c r="C30" s="50">
        <v>1340</v>
      </c>
      <c r="D30" s="50">
        <f>C30+B30</f>
        <v>15667</v>
      </c>
      <c r="E30" s="50">
        <v>420</v>
      </c>
      <c r="F30" s="50">
        <v>150</v>
      </c>
      <c r="G30" s="50">
        <f>F30+E30</f>
        <v>570</v>
      </c>
      <c r="H30" s="51">
        <f>G30+D30</f>
        <v>16237</v>
      </c>
    </row>
    <row r="31" spans="1:8" ht="12.75" customHeight="1">
      <c r="A31" s="28"/>
      <c r="B31" s="11"/>
      <c r="C31" s="11"/>
      <c r="D31" s="11"/>
      <c r="E31" s="11"/>
      <c r="F31" s="11"/>
      <c r="G31" s="11"/>
      <c r="H31" s="13"/>
    </row>
    <row r="32" spans="1:8" ht="12.75" customHeight="1">
      <c r="A32" s="28"/>
      <c r="B32"/>
      <c r="C32"/>
      <c r="D32"/>
      <c r="E32"/>
      <c r="F32" s="2"/>
      <c r="G32" s="2"/>
      <c r="H32" s="2"/>
    </row>
    <row r="33" spans="1:8" s="38" customFormat="1" ht="12.75" customHeight="1">
      <c r="A33" s="26" t="s">
        <v>47</v>
      </c>
      <c r="B33" s="40" t="s">
        <v>17</v>
      </c>
      <c r="C33" s="40" t="s">
        <v>17</v>
      </c>
      <c r="D33" s="40" t="s">
        <v>7</v>
      </c>
      <c r="E33" s="40" t="s">
        <v>11</v>
      </c>
      <c r="F33" s="40" t="s">
        <v>22</v>
      </c>
      <c r="G33" s="40" t="s">
        <v>23</v>
      </c>
      <c r="H33" s="41" t="s">
        <v>8</v>
      </c>
    </row>
    <row r="34" spans="2:8" s="38" customFormat="1" ht="12.75" customHeight="1">
      <c r="B34" s="42" t="s">
        <v>18</v>
      </c>
      <c r="C34" s="42" t="s">
        <v>19</v>
      </c>
      <c r="D34" s="42" t="s">
        <v>17</v>
      </c>
      <c r="E34" s="42" t="s">
        <v>20</v>
      </c>
      <c r="F34" s="42" t="s">
        <v>21</v>
      </c>
      <c r="G34" s="42" t="s">
        <v>11</v>
      </c>
      <c r="H34" s="43" t="s">
        <v>7</v>
      </c>
    </row>
    <row r="35" spans="2:8" ht="12.75" customHeight="1">
      <c r="B35" s="14"/>
      <c r="C35" s="14"/>
      <c r="D35" s="14"/>
      <c r="E35" s="14"/>
      <c r="F35" s="14"/>
      <c r="G35" s="14"/>
      <c r="H35" s="16"/>
    </row>
    <row r="36" spans="1:8" ht="12.75" customHeight="1">
      <c r="A36" s="7" t="s">
        <v>43</v>
      </c>
      <c r="B36" s="23">
        <f>SUM(B26*0.85)</f>
        <v>11163.05</v>
      </c>
      <c r="C36" s="23">
        <f>SUM(C26*1.15)</f>
        <v>1513.3999999999999</v>
      </c>
      <c r="D36" s="23">
        <f>C36+B36</f>
        <v>12676.449999999999</v>
      </c>
      <c r="E36" s="23">
        <f>SUM(E26*2.73)</f>
        <v>1520.61</v>
      </c>
      <c r="F36" s="23">
        <f>SUM(F26*10.33)</f>
        <v>537.16</v>
      </c>
      <c r="G36" s="23">
        <f>F36+E36</f>
        <v>2057.77</v>
      </c>
      <c r="H36" s="24">
        <f>G36+D36</f>
        <v>14734.22</v>
      </c>
    </row>
    <row r="37" spans="1:8" ht="12.75" customHeight="1">
      <c r="A37" s="52" t="s">
        <v>46</v>
      </c>
      <c r="B37" s="23">
        <f>SUM(B27*0.85)</f>
        <v>11562.55</v>
      </c>
      <c r="C37" s="23">
        <f>SUM(C27*1.15)</f>
        <v>1284.55</v>
      </c>
      <c r="D37" s="23">
        <f>C37+B37</f>
        <v>12847.099999999999</v>
      </c>
      <c r="E37" s="23">
        <f>SUM(E27*2.73)</f>
        <v>1831.83</v>
      </c>
      <c r="F37" s="23">
        <f>SUM(F27*10.33)</f>
        <v>433.86</v>
      </c>
      <c r="G37" s="23">
        <f>F37+E37</f>
        <v>2265.69</v>
      </c>
      <c r="H37" s="24">
        <f>G37+D37</f>
        <v>15112.789999999999</v>
      </c>
    </row>
    <row r="38" spans="1:8" ht="12.75" customHeight="1">
      <c r="A38" s="52" t="s">
        <v>49</v>
      </c>
      <c r="B38" s="23">
        <f>SUM(B28*0.85)</f>
        <v>11336.449999999999</v>
      </c>
      <c r="C38" s="23">
        <f>SUM(C28*1.15)</f>
        <v>1334</v>
      </c>
      <c r="D38" s="23">
        <f>C38+B38</f>
        <v>12670.449999999999</v>
      </c>
      <c r="E38" s="23">
        <f>SUM(E28*2.73)</f>
        <v>1799.07</v>
      </c>
      <c r="F38" s="23">
        <f>SUM(F28*10.33)</f>
        <v>991.6800000000001</v>
      </c>
      <c r="G38" s="23">
        <f>F38+E38</f>
        <v>2790.75</v>
      </c>
      <c r="H38" s="24">
        <f>G38+D38</f>
        <v>15461.199999999999</v>
      </c>
    </row>
    <row r="39" spans="1:8" ht="12.75" customHeight="1">
      <c r="A39" s="52" t="s">
        <v>58</v>
      </c>
      <c r="B39" s="23">
        <f>SUM(B29*0.85)</f>
        <v>11334.75</v>
      </c>
      <c r="C39" s="23">
        <f>SUM(C29*1.15)</f>
        <v>1288</v>
      </c>
      <c r="D39" s="23">
        <f>C39+B39</f>
        <v>12622.75</v>
      </c>
      <c r="E39" s="23">
        <f>SUM(E29*2.73)</f>
        <v>1351.35</v>
      </c>
      <c r="F39" s="23">
        <f>SUM(F29*10.33)</f>
        <v>1270.59</v>
      </c>
      <c r="G39" s="23">
        <f>F39+E39</f>
        <v>2621.9399999999996</v>
      </c>
      <c r="H39" s="24">
        <f>G39+D39</f>
        <v>15244.689999999999</v>
      </c>
    </row>
    <row r="40" spans="1:8" ht="12.75" customHeight="1">
      <c r="A40" s="52" t="s">
        <v>60</v>
      </c>
      <c r="B40" s="23">
        <f>SUM(B30*0.85)</f>
        <v>12177.949999999999</v>
      </c>
      <c r="C40" s="23">
        <f>SUM(C30*1.15)</f>
        <v>1540.9999999999998</v>
      </c>
      <c r="D40" s="23">
        <f>C40+B40</f>
        <v>13718.949999999999</v>
      </c>
      <c r="E40" s="23">
        <f>SUM(E30*2.73)</f>
        <v>1146.6</v>
      </c>
      <c r="F40" s="23">
        <f>SUM(F30*10.33)</f>
        <v>1549.5</v>
      </c>
      <c r="G40" s="23">
        <f>F40+E40</f>
        <v>2696.1</v>
      </c>
      <c r="H40" s="24">
        <f>G40+D40</f>
        <v>16415.05</v>
      </c>
    </row>
    <row r="41" spans="1:8" ht="12.75" customHeight="1">
      <c r="A41" s="28"/>
      <c r="B41" s="11"/>
      <c r="C41" s="11"/>
      <c r="D41" s="11"/>
      <c r="E41" s="11"/>
      <c r="F41" s="11"/>
      <c r="G41" s="11"/>
      <c r="H41" s="13"/>
    </row>
    <row r="43" ht="12.75" customHeight="1">
      <c r="A43" s="27" t="s">
        <v>50</v>
      </c>
    </row>
    <row r="83" spans="1:9" s="2" customFormat="1" ht="12.75" customHeight="1">
      <c r="A83" s="27"/>
      <c r="B83" s="3"/>
      <c r="C83" s="3"/>
      <c r="D83" s="3"/>
      <c r="E83" s="3"/>
      <c r="F83" s="3"/>
      <c r="G83" s="3"/>
      <c r="H83" s="3"/>
      <c r="I83" s="3"/>
    </row>
    <row r="116" spans="1:9" s="2" customFormat="1" ht="12.75" customHeight="1">
      <c r="A116" s="27"/>
      <c r="B116" s="3"/>
      <c r="C116" s="3"/>
      <c r="D116" s="3"/>
      <c r="E116" s="3"/>
      <c r="F116" s="3"/>
      <c r="G116" s="3"/>
      <c r="H116" s="3"/>
      <c r="I116" s="3"/>
    </row>
    <row r="147" spans="1:9" s="2" customFormat="1" ht="12.75" customHeight="1">
      <c r="A147" s="27"/>
      <c r="B147" s="3"/>
      <c r="C147" s="3"/>
      <c r="D147" s="3"/>
      <c r="E147" s="3"/>
      <c r="F147" s="3"/>
      <c r="G147" s="3"/>
      <c r="H147" s="3"/>
      <c r="I147" s="3"/>
    </row>
    <row r="156" spans="1:9" s="2" customFormat="1" ht="12.75" customHeight="1">
      <c r="A156" s="27"/>
      <c r="B156" s="3"/>
      <c r="C156" s="3"/>
      <c r="D156" s="3"/>
      <c r="E156" s="3"/>
      <c r="F156" s="3"/>
      <c r="G156" s="3"/>
      <c r="H156" s="3"/>
      <c r="I156" s="3"/>
    </row>
    <row r="187" spans="1:9" s="2" customFormat="1" ht="12.75" customHeight="1">
      <c r="A187" s="27"/>
      <c r="B187" s="3"/>
      <c r="C187" s="3"/>
      <c r="D187" s="3"/>
      <c r="E187" s="3"/>
      <c r="F187" s="3"/>
      <c r="G187" s="3"/>
      <c r="H187" s="3"/>
      <c r="I187" s="3"/>
    </row>
    <row r="191" ht="12.75" customHeight="1"/>
    <row r="208" spans="1:9" s="2" customFormat="1" ht="12.75" customHeight="1">
      <c r="A208" s="27"/>
      <c r="B208" s="3"/>
      <c r="C208" s="3"/>
      <c r="D208" s="3"/>
      <c r="E208" s="3"/>
      <c r="F208" s="3"/>
      <c r="G208" s="3"/>
      <c r="H208" s="3"/>
      <c r="I208" s="3"/>
    </row>
  </sheetData>
  <printOptions/>
  <pageMargins left="1" right="0.25" top="1" bottom="0.75" header="0.5" footer="0.25"/>
  <pageSetup fitToHeight="1" fitToWidth="1" horizontalDpi="300" verticalDpi="300" orientation="landscape" scale="91" r:id="rId1"/>
  <headerFooter alignWithMargins="0">
    <oddHeader>&amp;CThe University of Alabama in Huntsville
Unit Academic Reports 
</oddHeader>
    <oddFooter>&amp;L&amp;8Office of Institutional Research
&amp;D (np)
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workbookViewId="0" topLeftCell="A1">
      <selection activeCell="A2" sqref="A2"/>
    </sheetView>
  </sheetViews>
  <sheetFormatPr defaultColWidth="9.140625" defaultRowHeight="12.75" customHeight="1"/>
  <cols>
    <col min="1" max="1" width="25.7109375" style="27" customWidth="1"/>
    <col min="2" max="8" width="14.7109375" style="3" customWidth="1"/>
    <col min="9" max="16384" width="9.140625" style="3" customWidth="1"/>
  </cols>
  <sheetData>
    <row r="1" spans="1:8" ht="12.75" customHeight="1">
      <c r="A1" s="1" t="s">
        <v>34</v>
      </c>
      <c r="B1" s="2"/>
      <c r="C1" s="2"/>
      <c r="D1" s="2"/>
      <c r="E1" s="2"/>
      <c r="F1" s="2"/>
      <c r="G1" s="2"/>
      <c r="H1" s="2"/>
    </row>
    <row r="2" spans="1:8" ht="12.75" customHeight="1">
      <c r="A2" s="1"/>
      <c r="B2" s="2"/>
      <c r="C2" s="2"/>
      <c r="D2" s="2"/>
      <c r="E2" s="2"/>
      <c r="F2" s="2"/>
      <c r="G2" s="2"/>
      <c r="H2" s="2"/>
    </row>
    <row r="3" spans="1:8" ht="12.75" customHeight="1">
      <c r="A3" s="1" t="s">
        <v>7</v>
      </c>
      <c r="B3" s="2"/>
      <c r="C3" s="2"/>
      <c r="D3" s="2"/>
      <c r="E3" s="2"/>
      <c r="F3" s="2"/>
      <c r="G3" s="2"/>
      <c r="H3" s="2"/>
    </row>
    <row r="4" spans="1:8" ht="12.75" customHeight="1">
      <c r="A4" s="1"/>
      <c r="B4" s="2"/>
      <c r="C4" s="2"/>
      <c r="D4" s="2"/>
      <c r="E4" s="2"/>
      <c r="F4" s="2"/>
      <c r="G4" s="2"/>
      <c r="H4" s="2"/>
    </row>
    <row r="5" spans="1:8" ht="12.75" customHeight="1">
      <c r="A5" s="26" t="s">
        <v>17</v>
      </c>
      <c r="B5" s="2"/>
      <c r="C5" s="2"/>
      <c r="D5" s="2"/>
      <c r="E5" s="2"/>
      <c r="F5" s="2"/>
      <c r="G5" s="2"/>
      <c r="H5" s="2"/>
    </row>
    <row r="6" spans="1:7" s="27" customFormat="1" ht="12.75" customHeight="1">
      <c r="A6" s="7" t="s">
        <v>12</v>
      </c>
      <c r="B6" s="39" t="s">
        <v>16</v>
      </c>
      <c r="C6" s="39" t="s">
        <v>36</v>
      </c>
      <c r="D6" s="39" t="s">
        <v>15</v>
      </c>
      <c r="E6" s="28"/>
      <c r="F6" s="28"/>
      <c r="G6" s="28"/>
    </row>
    <row r="7" spans="2:7" ht="12.75" customHeight="1">
      <c r="B7" s="10"/>
      <c r="C7" s="10"/>
      <c r="D7" s="10"/>
      <c r="E7"/>
      <c r="F7"/>
      <c r="G7"/>
    </row>
    <row r="8" spans="1:7" s="2" customFormat="1" ht="12.75" customHeight="1">
      <c r="A8" s="17" t="s">
        <v>43</v>
      </c>
      <c r="B8" s="16">
        <f>SUM(BYS2!B6,'CH2'!B6,'CS2'!B6,MA2!B6,OPT2!B6,PH2!B6,'PEN&amp;UND2'!B6)</f>
        <v>371</v>
      </c>
      <c r="C8" s="16">
        <f>SUM('PEN&amp;UND2'!C6,PH2!C6,OPT2!C6,MA2!C6,'CS2'!C6,'CH2'!C6,BYS2!C6)</f>
        <v>809</v>
      </c>
      <c r="D8" s="16">
        <f>SUM(BYS2!D6,'CH2'!D6,'CS2'!D6,MA2!D6,OPT2!D6,PH2!D6,'PEN&amp;UND2'!D6)</f>
        <v>749</v>
      </c>
      <c r="E8" s="25"/>
      <c r="F8" s="25"/>
      <c r="G8" s="25"/>
    </row>
    <row r="9" spans="1:7" s="2" customFormat="1" ht="12.75" customHeight="1">
      <c r="A9" s="52" t="s">
        <v>46</v>
      </c>
      <c r="B9" s="16">
        <f>SUM(BYS2!B7,'CH2'!B7,'CS2'!B7,MA2!B7,OPT2!B7,PH2!B7,'PEN&amp;UND2'!B7)</f>
        <v>375</v>
      </c>
      <c r="C9" s="16">
        <f>SUM('PEN&amp;UND2'!C7,PH2!C7,OPT2!C7,MA2!C7,'CS2'!C7,'CH2'!C7,BYS2!C7)</f>
        <v>926</v>
      </c>
      <c r="D9" s="16">
        <f>SUM(BYS2!D7,'CH2'!D7,'CS2'!D7,MA2!D7,OPT2!D7,PH2!D7,'PEN&amp;UND2'!D7)</f>
        <v>844</v>
      </c>
      <c r="E9" s="25"/>
      <c r="F9" s="25"/>
      <c r="G9" s="25"/>
    </row>
    <row r="10" spans="1:7" s="2" customFormat="1" ht="12.75" customHeight="1">
      <c r="A10" s="52" t="s">
        <v>49</v>
      </c>
      <c r="B10" s="16">
        <f>SUM(BYS2!B8,'CH2'!B8,'CS2'!B8,MA2!B8,OPT2!B8,PH2!B8,'PEN&amp;UND2'!B8)</f>
        <v>413</v>
      </c>
      <c r="C10" s="16">
        <f>SUM('PEN&amp;UND2'!C8,PH2!C8,OPT2!C8,MA2!C8,'CS2'!C8,'CH2'!C8,BYS2!C8)</f>
        <v>932</v>
      </c>
      <c r="D10" s="16">
        <f>SUM(BYS2!D8,'CH2'!D8,'CS2'!D8,MA2!D8,OPT2!D8,PH2!D8,'PEN&amp;UND2'!D8)</f>
        <v>856</v>
      </c>
      <c r="E10" s="25"/>
      <c r="F10" s="25"/>
      <c r="G10" s="25"/>
    </row>
    <row r="11" spans="1:7" s="2" customFormat="1" ht="12.75" customHeight="1">
      <c r="A11" s="52" t="s">
        <v>58</v>
      </c>
      <c r="B11" s="16">
        <f>SUM(BYS2!B9,'CH2'!B9,'CS2'!B9,MA2!B9,OPT2!B9,PH2!B9,'PEN&amp;UND2'!B9)</f>
        <v>428</v>
      </c>
      <c r="C11" s="16">
        <f>SUM('PEN&amp;UND2'!C9,PH2!C9,OPT2!C9,MA2!C9,'CS2'!C9,'CH2'!C9,BYS2!C9)</f>
        <v>950</v>
      </c>
      <c r="D11" s="16">
        <f>SUM(BYS2!D9,'CH2'!D9,'CS2'!D9,MA2!D9,OPT2!D9,PH2!D9,'PEN&amp;UND2'!D9)</f>
        <v>893</v>
      </c>
      <c r="E11" s="25"/>
      <c r="F11" s="25"/>
      <c r="G11" s="25"/>
    </row>
    <row r="12" spans="1:7" s="2" customFormat="1" ht="12.75" customHeight="1">
      <c r="A12" s="52" t="s">
        <v>60</v>
      </c>
      <c r="B12" s="16">
        <f>SUM(BYS2!B10,'CH2'!B10,'CS2'!B10,MA2!B10,OPT2!B10,PH2!B10,'PEN&amp;UND2'!B10)</f>
        <v>434</v>
      </c>
      <c r="C12" s="16">
        <f>SUM('PEN&amp;UND2'!C10,PH2!C10,OPT2!C10,MA2!C10,'CS2'!C10,'CH2'!C10,BYS2!C10)</f>
        <v>971</v>
      </c>
      <c r="D12" s="125">
        <f>SUM(BYS2!D10,'CH2'!D10,'CS2'!D10,MA2!D10,OPT2!D10,PH2!D10,'PEN&amp;UND2'!D10,ESS2!D10)</f>
        <v>913</v>
      </c>
      <c r="E12" s="25"/>
      <c r="F12" s="25"/>
      <c r="G12" s="25"/>
    </row>
    <row r="13" spans="1:7" ht="12.75" customHeight="1">
      <c r="A13" s="7"/>
      <c r="B13" s="9"/>
      <c r="C13" s="9"/>
      <c r="D13" s="9"/>
      <c r="E13"/>
      <c r="F13"/>
      <c r="G13"/>
    </row>
    <row r="14" ht="12.75" customHeight="1">
      <c r="A14" s="28"/>
    </row>
    <row r="15" spans="1:7" ht="12.75" customHeight="1">
      <c r="A15" s="7" t="s">
        <v>11</v>
      </c>
      <c r="E15"/>
      <c r="F15"/>
      <c r="G15"/>
    </row>
    <row r="16" spans="1:7" s="27" customFormat="1" ht="12.75" customHeight="1">
      <c r="A16" s="7" t="s">
        <v>12</v>
      </c>
      <c r="B16" s="39" t="s">
        <v>16</v>
      </c>
      <c r="C16" s="39" t="s">
        <v>14</v>
      </c>
      <c r="D16" s="39" t="s">
        <v>15</v>
      </c>
      <c r="E16" s="28"/>
      <c r="F16" s="28"/>
      <c r="G16" s="28"/>
    </row>
    <row r="17" spans="2:7" ht="12.75" customHeight="1">
      <c r="B17" s="10"/>
      <c r="C17" s="10"/>
      <c r="D17" s="10"/>
      <c r="E17"/>
      <c r="F17"/>
      <c r="G17"/>
    </row>
    <row r="18" spans="1:7" s="2" customFormat="1" ht="12.75" customHeight="1">
      <c r="A18" s="17" t="s">
        <v>43</v>
      </c>
      <c r="B18" s="99">
        <f>SUM(ATS2!B6,BYS2!B16,'CH2'!B16,'CS2'!B16,CSE2!B6,MTS2!B6,MA2!B16,PH2!B16,SWE2!B6)</f>
        <v>188</v>
      </c>
      <c r="C18" s="16">
        <f>SUM(ATS2!C6,BTSE2!C7,BYS2!C16,'CH2'!C16,'CS2'!C16,CSE2!C6,MTS2!C6,MA2!C16,PH2!C16,SWE!R17)</f>
        <v>341</v>
      </c>
      <c r="D18" s="99">
        <f>SUM(ATS2!D6,BTSE2!D7,BYS2!D16,'CH2'!D16,'CS2'!D16,CSE2!D6,MTS2!D6,MA2!D16,PH2!D16,SWE2!D6)</f>
        <v>307</v>
      </c>
      <c r="E18" s="25"/>
      <c r="F18" s="25"/>
      <c r="G18" s="25"/>
    </row>
    <row r="19" spans="1:7" s="2" customFormat="1" ht="12.75" customHeight="1">
      <c r="A19" s="52" t="s">
        <v>46</v>
      </c>
      <c r="B19" s="99">
        <f>SUM(ATS2!B7,BYS2!B17,'CH2'!B17,'CS2'!B17,CSE2!B7,MTS2!B7,MA2!B17,PH2!B17,SWE2!B7,BTSE2!B8)</f>
        <v>188</v>
      </c>
      <c r="C19" s="16">
        <f>SUM(ATS2!C7,BTSE2!C8,BYS2!C17,'CH2'!C17,'CS2'!C17,CSE2!C7,MTS2!C7,MA2!C17,PH2!C17,SWE!R18)</f>
        <v>305</v>
      </c>
      <c r="D19" s="99">
        <f>SUM(ATS2!D7,BTSE2!D8,BYS2!D17,'CH2'!D17,'CS2'!D17,CSE2!D7,MTS2!D7,MA2!D17,PH2!D17,SWE2!D7)</f>
        <v>283</v>
      </c>
      <c r="E19" s="25"/>
      <c r="F19" s="25"/>
      <c r="G19" s="25"/>
    </row>
    <row r="20" spans="1:7" s="2" customFormat="1" ht="12.75" customHeight="1">
      <c r="A20" s="52" t="s">
        <v>49</v>
      </c>
      <c r="B20" s="99">
        <f>SUM(ATS2!B8,BYS2!B18,'CH2'!B18,'CS2'!B18,CSE2!B8,MTS2!B8,MA2!B18,PH2!B18,SWE2!B8,BTSE2!B9)</f>
        <v>185</v>
      </c>
      <c r="C20" s="16">
        <f>SUM(ATS2!C8,BTSE2!C9,BYS2!C18,'CH2'!C18,'CS2'!C18,CSE2!C8,MTS2!C8,MA2!C18,PH2!C18,SWE!R19)</f>
        <v>314</v>
      </c>
      <c r="D20" s="99">
        <f>SUM(ATS2!D8,BTSE2!D9,BYS2!D18,'CH2'!D18,'CS2'!D18,CSE2!D8,MTS2!D8,MA2!D18,PH2!D18,SWE2!D8)</f>
        <v>311</v>
      </c>
      <c r="E20" s="25"/>
      <c r="F20" s="25"/>
      <c r="G20" s="25"/>
    </row>
    <row r="21" spans="1:7" s="2" customFormat="1" ht="12.75" customHeight="1">
      <c r="A21" s="52" t="s">
        <v>58</v>
      </c>
      <c r="B21" s="99">
        <f>SUM(ATS2!B9,BYS2!B19,'CH2'!B19,'CS2'!B19,CSE2!B9,MTS2!B9,MA2!B19,PH2!B19,SWE2!B9,BTSE2!B10)</f>
        <v>218</v>
      </c>
      <c r="C21" s="16">
        <f>SUM(ATS2!C9,BTSE2!C10,BYS2!C19,'CH2'!C19,'CS2'!C19,CSE2!C9,MTS2!C9,MA2!C19,PH2!C19,SWE!R20,MOD2!C9)</f>
        <v>347</v>
      </c>
      <c r="D21" s="99">
        <f>SUM(ATS2!D9,BTSE2!D10,BYS2!D19,'CH2'!D19,'CS2'!D19,CSE2!D9,MTS2!D9,MA2!D19,PH2!D19,SWE2!D9,MOD2!D9)</f>
        <v>317</v>
      </c>
      <c r="E21" s="25"/>
      <c r="F21" s="25"/>
      <c r="G21" s="25"/>
    </row>
    <row r="22" spans="1:7" s="2" customFormat="1" ht="12.75" customHeight="1">
      <c r="A22" s="52" t="s">
        <v>60</v>
      </c>
      <c r="B22" s="99">
        <f>SUM(ATS2!B10,BYS2!B20,'CH2'!B20,'CS2'!B20,CSE2!B10,MTS2!B10,MA2!B20,PH2!B20,SWE2!B10,BTSE2!B11,MOD2!B10)</f>
        <v>228</v>
      </c>
      <c r="C22" s="99">
        <f>SUM(ATS2!C10,BYS2!C20,'CH2'!C20,'CS2'!C20,CSE2!C10,MTS2!C10,MA2!C20,PH2!C20,SWE2!C10,BTSE2!C11,MOD2!C10)</f>
        <v>315</v>
      </c>
      <c r="D22" s="99">
        <f>SUM(ATS2!D10,BYS2!D20,'CH2'!D20,'CS2'!D20,CSE2!D10,MTS2!D10,MA2!D20,PH2!D20,SWE2!D10,BTSE2!D11,MOD2!D10)</f>
        <v>281</v>
      </c>
      <c r="E22" s="25"/>
      <c r="F22" s="25"/>
      <c r="G22" s="25"/>
    </row>
    <row r="23" spans="1:7" ht="12.75" customHeight="1">
      <c r="A23" s="7"/>
      <c r="B23" s="9"/>
      <c r="C23" s="9"/>
      <c r="D23" s="9"/>
      <c r="E23"/>
      <c r="F23"/>
      <c r="G23"/>
    </row>
    <row r="24" spans="6:8" ht="12.75" customHeight="1">
      <c r="F24"/>
      <c r="G24"/>
      <c r="H24"/>
    </row>
    <row r="25" spans="1:8" s="38" customFormat="1" ht="12.75" customHeight="1">
      <c r="A25" s="26" t="s">
        <v>48</v>
      </c>
      <c r="B25" s="40" t="s">
        <v>17</v>
      </c>
      <c r="C25" s="40" t="s">
        <v>17</v>
      </c>
      <c r="D25" s="40" t="s">
        <v>7</v>
      </c>
      <c r="E25" s="40" t="s">
        <v>11</v>
      </c>
      <c r="F25" s="40" t="s">
        <v>11</v>
      </c>
      <c r="G25" s="41" t="s">
        <v>7</v>
      </c>
      <c r="H25" s="41" t="s">
        <v>8</v>
      </c>
    </row>
    <row r="26" spans="1:8" s="38" customFormat="1" ht="12.75" customHeight="1">
      <c r="A26" s="26"/>
      <c r="B26" s="42" t="s">
        <v>18</v>
      </c>
      <c r="C26" s="42" t="s">
        <v>19</v>
      </c>
      <c r="D26" s="42" t="s">
        <v>17</v>
      </c>
      <c r="E26" s="42" t="s">
        <v>20</v>
      </c>
      <c r="F26" s="42" t="s">
        <v>21</v>
      </c>
      <c r="G26" s="43" t="s">
        <v>11</v>
      </c>
      <c r="H26" s="43" t="s">
        <v>7</v>
      </c>
    </row>
    <row r="27" spans="2:8" ht="12.75" customHeight="1">
      <c r="B27" s="4"/>
      <c r="C27" s="4"/>
      <c r="D27" s="4"/>
      <c r="E27" s="4"/>
      <c r="F27" s="4"/>
      <c r="G27" s="4"/>
      <c r="H27" s="10"/>
    </row>
    <row r="28" spans="1:8" ht="12.75" customHeight="1">
      <c r="A28" s="17" t="s">
        <v>43</v>
      </c>
      <c r="B28" s="50">
        <f>PH2!B26+OPT2!B16+MS2!B6+MA2!B26+MTS2!B16+'ES2'!B6+'CS2'!B26+'CH2'!B26+BYS2!B26+AST2!B6+ATS2!B16</f>
        <v>30390</v>
      </c>
      <c r="C28" s="50">
        <f>PH2!C26+OPT2!C16+MS2!C6+MA2!C26+MTS2!C16+'ES2'!C6+'CS2'!C26+'CH2'!C26+BYS2!C26+AST2!C6+ATS2!C16</f>
        <v>7144</v>
      </c>
      <c r="D28" s="50">
        <f>PH2!D26+OPT2!D16+MS2!D6+MA2!D26+MTS2!D16+'ES2'!D6+'CS2'!D26+'CH2'!D26+BYS2!D26+BTSE2!D18+AST2!D6+ATS2!D16</f>
        <v>37534</v>
      </c>
      <c r="E28" s="50">
        <f>PH2!E26+OPT2!E16+MS2!E6+MA2!E26+MTS2!E16+'ES2'!E6+'CS2'!E26+'CH2'!E26+BYS2!E26+AST2!E6+ATS2!E16</f>
        <v>4842</v>
      </c>
      <c r="F28" s="50">
        <f>PH2!F26+OPT2!F16+MS2!F6+MA2!F26+MTS2!F16+'ES2'!F6+'CS2'!F26+'CH2'!F26+BYS2!F26+AST2!F6+ATS2!F16</f>
        <v>1178</v>
      </c>
      <c r="G28" s="50">
        <f>PH2!G26+OPT2!G16+MS2!G6+MA2!G26+MTS2!G16+'ES2'!G6+'CS2'!G26+'CH2'!G26+BYS2!G26+AST2!G6+ATS2!G16</f>
        <v>6020</v>
      </c>
      <c r="H28" s="51">
        <f>PH2!H26+OPT2!H16+MS2!H6+MA2!H26+MTS2!H16+'ES2'!H6+'CS2'!H26+'CH2'!H26+BYS2!H26+AST2!H6+ATS2!H16</f>
        <v>43554</v>
      </c>
    </row>
    <row r="29" spans="1:8" ht="12.75" customHeight="1">
      <c r="A29" s="52" t="s">
        <v>46</v>
      </c>
      <c r="B29" s="50">
        <f>PH2!B27+OPT2!B17+MS2!B7+MA2!B27+MTS2!B17+'ES2'!B7+'CS2'!B27+'CH2'!B27+BYS2!B27+BTSE2!B19+AST2!B7+ATS2!B17</f>
        <v>30934</v>
      </c>
      <c r="C29" s="50">
        <f>PH2!C27+OPT2!C17+MS2!C7+MA2!C27+MTS2!C17+'ES2'!C7+'CS2'!C27+'CH2'!C27+BYS2!C27+BTSE2!C19+AST2!C7+ATS2!C17</f>
        <v>7141</v>
      </c>
      <c r="D29" s="50">
        <f>PH2!D27+OPT2!D17+MS2!D7+MA2!D27+MTS2!D17+'ES2'!D7+'CS2'!D27+'CH2'!D27+BYS2!D27+BTSE2!D19+AST2!D7+ATS2!D17</f>
        <v>38075</v>
      </c>
      <c r="E29" s="50">
        <f>PH2!E27+OPT2!E17+MS2!E7+MA2!E27+MTS2!E17+'ES2'!E7+'CS2'!E27+'CH2'!E27+BYS2!E27+AST2!E7+ATS2!E17+BTSE2!E19</f>
        <v>4503</v>
      </c>
      <c r="F29" s="50">
        <f>PH2!F27+OPT2!F17+MS2!F7+MA2!F27+MTS2!F17+'ES2'!F7+'CS2'!F27+'CH2'!F27+BYS2!F27+AST2!F7+ATS2!F17+BTSE2!F19</f>
        <v>1255</v>
      </c>
      <c r="G29" s="50">
        <f>PH2!G27+OPT2!G17+MS2!G7+MA2!G27+MTS2!G17+'ES2'!G7+'CS2'!G27+'CH2'!G27+BYS2!G27+BTSE2!G19+AST2!G7+ATS2!G17</f>
        <v>5758</v>
      </c>
      <c r="H29" s="51">
        <f>PH2!H27+OPT2!H17+MS2!H7+MA2!H27+MTS2!H17+'ES2'!H7+'CS2'!H27+'CH2'!H27+BYS2!H27+BTSE2!H19+AST2!H7+ATS2!H17</f>
        <v>43833</v>
      </c>
    </row>
    <row r="30" spans="1:8" ht="12.75" customHeight="1">
      <c r="A30" s="52" t="s">
        <v>49</v>
      </c>
      <c r="B30" s="50">
        <f>PH2!B28+OPT2!B18+MS2!B8+MA2!B28+MTS2!B18+'ES2'!B8+'CS2'!B28+'CH2'!B28+BYS2!B28+BTSE2!B20+AST2!B8+ATS2!B18</f>
        <v>30493</v>
      </c>
      <c r="C30" s="50">
        <f>PH2!C28+OPT2!C18+MS2!C8+MA2!C28+MTS2!C18+'ES2'!C8+'CS2'!C28+'CH2'!C28+BYS2!C28+BTSE2!C20+AST2!C8+ATS2!C18</f>
        <v>7828</v>
      </c>
      <c r="D30" s="50">
        <f>PH2!D28+OPT2!D18+MS2!D8+MA2!D28+MTS2!D18+'ES2'!D8+'CS2'!D28+'CH2'!D28+BYS2!D28+BTSE2!D20+AST2!D8+ATS2!D18</f>
        <v>38321</v>
      </c>
      <c r="E30" s="50">
        <f>PH2!E28+OPT2!E18+MS2!E8+MA2!E28+MTS2!E18+'ES2'!E8+'CS2'!E28+'CH2'!E28+BYS2!E28+AST2!E8+ATS2!E18+BTSE2!E20</f>
        <v>4653</v>
      </c>
      <c r="F30" s="50">
        <f>PH2!F28+OPT2!F18+MS2!F8+MA2!F28+MTS2!F18+'ES2'!F8+'CS2'!F28+'CH2'!F28+BYS2!F28+AST2!F8+ATS2!F18+BTSE2!F20</f>
        <v>1191</v>
      </c>
      <c r="G30" s="50">
        <f>PH2!G28+OPT2!G18+MS2!G8+MA2!G28+MTS2!G18+'ES2'!G8+'CS2'!G28+'CH2'!G28+BYS2!G28+BTSE2!G20+AST2!G8+ATS2!G18</f>
        <v>5844</v>
      </c>
      <c r="H30" s="51">
        <f>PH2!H28+OPT2!H18+MS2!H8+MA2!H28+MTS2!H18+'ES2'!H8+'CS2'!H28+'CH2'!H28+BYS2!H28+BTSE2!H20+AST2!H8+ATS2!H18</f>
        <v>44165</v>
      </c>
    </row>
    <row r="31" spans="1:8" ht="12.75" customHeight="1">
      <c r="A31" s="52" t="s">
        <v>58</v>
      </c>
      <c r="B31" s="50">
        <f>PH2!B29+OPT2!B19+MS2!B9+MA2!B29+MTS2!B19+'ES2'!B9+'CS2'!B29+'CH2'!B29+BYS2!B29+BTSE2!B21+AST2!B9+ATS2!B19</f>
        <v>30503</v>
      </c>
      <c r="C31" s="50">
        <f>PH2!C29+OPT2!C19+MS2!C9+MA2!C29+MTS2!C19+'ES2'!C9+'CS2'!C29+'CH2'!C29+BYS2!C29+BTSE2!C21+AST2!C9+ATS2!C19</f>
        <v>7733</v>
      </c>
      <c r="D31" s="50">
        <f>PH2!D29+OPT2!D19+MS2!D9+MA2!D29+MTS2!D19+'ES2'!D9+'CS2'!D29+'CH2'!D29+BYS2!D29+BTSE2!D21+AST2!D9+ATS2!D19</f>
        <v>38236</v>
      </c>
      <c r="E31" s="50">
        <f>PH2!E29+OPT2!E19+MS2!E9+MA2!E29+MTS2!E19+'ES2'!E9+'CS2'!E29+'CH2'!E29+BYS2!E29+AST2!E9+ATS2!E19+BTSE2!E21</f>
        <v>4777</v>
      </c>
      <c r="F31" s="50">
        <f>PH2!F29+OPT2!F19+MS2!F9+MA2!F29+MTS2!F19+'ES2'!F9+'CS2'!F29+'CH2'!F29+BYS2!F29+AST2!F9+ATS2!F19+BTSE2!F21</f>
        <v>1358</v>
      </c>
      <c r="G31" s="50">
        <f>PH2!G29+OPT2!G19+MS2!G9+MA2!G29+MTS2!G19+'ES2'!G9+'CS2'!G29+'CH2'!G29+BYS2!G29+BTSE2!G21+AST2!G9+ATS2!G19</f>
        <v>6135</v>
      </c>
      <c r="H31" s="51">
        <f>PH2!H29+OPT2!H19+MS2!H9+MA2!H29+MTS2!H19+'ES2'!H9+'CS2'!H29+'CH2'!H29+BYS2!H29+BTSE2!H21+AST2!H9+ATS2!H19</f>
        <v>44371</v>
      </c>
    </row>
    <row r="32" spans="1:8" ht="12.75" customHeight="1">
      <c r="A32" s="52" t="s">
        <v>60</v>
      </c>
      <c r="B32" s="50">
        <f>PH2!B30+OPT2!B20+MS2!B10+MA2!B30+MTS2!B20+'ES2'!B10+'CS2'!B30+'CH2'!B30+BYS2!B30+BTSE2!B22+AST2!B10+ATS2!B20</f>
        <v>32423</v>
      </c>
      <c r="C32" s="50">
        <f>PH2!C30+OPT2!C20+MS2!C10+MA2!C30+MTS2!C20+'ES2'!C10+'CS2'!C30+'CH2'!C30+BYS2!C30+BTSE2!C22+AST2!C10+ATS2!C20</f>
        <v>8545</v>
      </c>
      <c r="D32" s="50">
        <f>PH2!D30+OPT2!D20+MS2!D10+MA2!D30+MTS2!D20+'ES2'!D10+'CS2'!D30+'CH2'!D30+BYS2!D30+BTSE2!D22+AST2!D10+ATS2!D20</f>
        <v>40968</v>
      </c>
      <c r="E32" s="50">
        <f>PH2!E30+OPT2!E20+MS2!E10+MA2!E30+MTS2!E20+'ES2'!E10+'CS2'!E30+'CH2'!E30+BYS2!E30+AST2!E10+ATS2!E20+BTSE2!E22</f>
        <v>4332</v>
      </c>
      <c r="F32" s="50">
        <f>PH2!F30+OPT2!F20+MS2!F10+MA2!F30+MTS2!F20+'ES2'!F10+'CS2'!F30+'CH2'!F30+BYS2!F30+AST2!F10+ATS2!F20+BTSE2!F22</f>
        <v>1316</v>
      </c>
      <c r="G32" s="50">
        <f>PH2!G30+OPT2!G20+MS2!G10+MA2!G30+MTS2!G20+'ES2'!G10+'CS2'!G30+'CH2'!G30+BYS2!G30+BTSE2!G22+AST2!G10+ATS2!G20</f>
        <v>5648</v>
      </c>
      <c r="H32" s="51">
        <f>PH2!H30+OPT2!H20+MS2!H10+MA2!H30+MTS2!H20+'ES2'!H10+'CS2'!H30+'CH2'!H30+BYS2!H30+BTSE2!H22+AST2!H10+ATS2!H20</f>
        <v>46616</v>
      </c>
    </row>
    <row r="33" spans="1:8" ht="12.75" customHeight="1">
      <c r="A33" s="28"/>
      <c r="B33" s="11"/>
      <c r="C33" s="11"/>
      <c r="D33" s="11"/>
      <c r="E33" s="11"/>
      <c r="F33" s="11"/>
      <c r="G33" s="11"/>
      <c r="H33" s="13"/>
    </row>
    <row r="35" spans="1:8" s="38" customFormat="1" ht="12.75" customHeight="1">
      <c r="A35" s="26" t="s">
        <v>47</v>
      </c>
      <c r="B35" s="40" t="s">
        <v>17</v>
      </c>
      <c r="C35" s="40" t="s">
        <v>17</v>
      </c>
      <c r="D35" s="40" t="s">
        <v>7</v>
      </c>
      <c r="E35" s="40" t="s">
        <v>11</v>
      </c>
      <c r="F35" s="40" t="s">
        <v>22</v>
      </c>
      <c r="G35" s="40" t="s">
        <v>23</v>
      </c>
      <c r="H35" s="41" t="s">
        <v>8</v>
      </c>
    </row>
    <row r="36" spans="2:8" s="38" customFormat="1" ht="12.75" customHeight="1">
      <c r="B36" s="42" t="s">
        <v>18</v>
      </c>
      <c r="C36" s="42" t="s">
        <v>19</v>
      </c>
      <c r="D36" s="42" t="s">
        <v>17</v>
      </c>
      <c r="E36" s="42" t="s">
        <v>20</v>
      </c>
      <c r="F36" s="42" t="s">
        <v>21</v>
      </c>
      <c r="G36" s="42" t="s">
        <v>11</v>
      </c>
      <c r="H36" s="43" t="s">
        <v>7</v>
      </c>
    </row>
    <row r="37" spans="2:8" ht="12.75" customHeight="1">
      <c r="B37" s="14"/>
      <c r="C37" s="14"/>
      <c r="D37" s="14"/>
      <c r="E37" s="14"/>
      <c r="F37" s="14"/>
      <c r="G37" s="14"/>
      <c r="H37" s="6"/>
    </row>
    <row r="38" spans="1:8" ht="12.75" customHeight="1">
      <c r="A38" s="17" t="s">
        <v>43</v>
      </c>
      <c r="B38" s="23">
        <f>PH2!B36+OPT2!B26+MS2!B16+MA2!B36+MTS2!B26+'ES2'!B16+'CS2'!B36+'CH2'!B36+BYS2!B36+AST2!B16+ATS2!B26</f>
        <v>30128.83</v>
      </c>
      <c r="C38" s="23">
        <f>PH2!C36+OPT2!C26+MS2!C16+MA2!C36+MTS2!C26+'ES2'!C16+'CS2'!C36+'CH2'!C36+BYS2!C36+AST2!C16+ATS2!C26</f>
        <v>10137.519999999999</v>
      </c>
      <c r="D38" s="23">
        <f>PH2!D36+OPT2!D26+MS2!D16+MA2!D36+MTS2!D26+'ES2'!D16+'CS2'!D36+'CH2'!D36+BYS2!D36+BTSE2!D29+AST2!D16+ATS2!D26</f>
        <v>40266.35</v>
      </c>
      <c r="E38" s="23">
        <f>PH2!E36+OPT2!E26+MS2!E16+MA2!E36+MTS2!E26+'ES2'!E16+'CS2'!E36+'CH2'!E36+BYS2!E36+AST2!E16+ATS2!E26</f>
        <v>24479.69</v>
      </c>
      <c r="F38" s="23">
        <f>PH2!F36+OPT2!F26+MS2!F16+MA2!F36+MTS2!F26+'ES2'!F16+'CS2'!F36+'CH2'!F36+BYS2!F36+AST2!F16+ATS2!F26</f>
        <v>20354.760000000002</v>
      </c>
      <c r="G38" s="23">
        <f>PH2!G36+OPT2!G26+MS2!G16+MA2!G36+MTS2!G26+'ES2'!G16+'CS2'!G36+'CH2'!G36+BYS2!G36+BTSE2!G29+AST2!G16+ATS2!G26</f>
        <v>47767.57000000001</v>
      </c>
      <c r="H38" s="24">
        <f>PH2!H36+OPT2!H26+MS2!H16+MA2!H36+MTS2!H26+'ES2'!H16+'CS2'!H36+'CH2'!H36+BYS2!H36+AST2!H16+ATS2!H26</f>
        <v>85100.79999999999</v>
      </c>
    </row>
    <row r="39" spans="1:8" ht="12.75" customHeight="1">
      <c r="A39" s="52" t="s">
        <v>46</v>
      </c>
      <c r="B39" s="23">
        <f>PH2!B37+OPT2!B27+MS2!B17+MA2!B37+MTS2!B27+'ES2'!B17+'CS2'!B37+'CH2'!B37+BYS2!B37+BTSE2!B30+AST2!B17+ATS2!B27</f>
        <v>30607.449999999997</v>
      </c>
      <c r="C39" s="23">
        <f>PH2!C37+OPT2!C27+MS2!C17+MA2!C37+MTS2!C27+'ES2'!C17+'CS2'!C37+'CH2'!C37+BYS2!C37+BTSE2!C30+AST2!C17+ATS2!C27</f>
        <v>10199.169999999998</v>
      </c>
      <c r="D39" s="23">
        <f>PH2!D37+OPT2!D27+MS2!D17+MA2!D37+MTS2!D27+'ES2'!D17+'CS2'!D37+'CH2'!D37+BYS2!D37+BTSE2!D30+AST2!D17+ATS2!D27</f>
        <v>40806.619999999995</v>
      </c>
      <c r="E39" s="23">
        <f>PH2!E37+OPT2!E27+MS2!E17+MA2!E37+MTS2!E27+'ES2'!E17+'CS2'!E37+'CH2'!E37+BYS2!E37+BTSE2!E30+AST2!E17+ATS2!E27</f>
        <v>22364.96</v>
      </c>
      <c r="F39" s="23">
        <f>PH2!F37+OPT2!F27+MS2!F17+MA2!F37+MTS2!F27+'ES2'!F17+'CS2'!F37+'CH2'!F37+BYS2!F37+BTSE2!F30+AST2!F17+ATS2!F27</f>
        <v>21782.66</v>
      </c>
      <c r="G39" s="23">
        <f>PH2!G37+OPT2!G27+MS2!G17+MA2!G37+MTS2!G27+'ES2'!G17+'CS2'!G37+'CH2'!G37+BYS2!G37+BTSE2!G30+AST2!G17+ATS2!G27</f>
        <v>44147.62</v>
      </c>
      <c r="H39" s="24">
        <f>PH2!H37+OPT2!H27+MS2!H17+MA2!H37+MTS2!H27+'ES2'!H17+'CS2'!H37+'CH2'!H37+BYS2!H37+BTSE2!H30+AST2!H17+ATS2!H27</f>
        <v>84954.23999999999</v>
      </c>
    </row>
    <row r="40" spans="1:8" ht="12.75" customHeight="1">
      <c r="A40" s="52" t="s">
        <v>49</v>
      </c>
      <c r="B40" s="23">
        <f>PH2!B38+OPT2!B28+MS2!B18+MA2!B38+MTS2!B28+'ES2'!B18+'CS2'!B38+'CH2'!B38+BYS2!B38+BTSE2!B31+AST2!B18+ATS2!B28</f>
        <v>30188.699999999997</v>
      </c>
      <c r="C40" s="23">
        <f>PH2!C38+OPT2!C28+MS2!C18+MA2!C38+MTS2!C28+'ES2'!C18+'CS2'!C38+'CH2'!C38+BYS2!C38+BTSE2!C31+AST2!C18+ATS2!C28</f>
        <v>11201.380000000001</v>
      </c>
      <c r="D40" s="23">
        <f>PH2!D38+OPT2!D28+MS2!D18+MA2!D38+MTS2!D28+'ES2'!D18+'CS2'!D38+'CH2'!D38+BYS2!D38+BTSE2!D31+AST2!D18+ATS2!D28</f>
        <v>41390.08</v>
      </c>
      <c r="E40" s="23">
        <f>PH2!E38+OPT2!E28+MS2!E18+MA2!E38+MTS2!E28+'ES2'!E18+'CS2'!E38+'CH2'!E38+BYS2!E38+BTSE2!E31+AST2!E18+ATS2!E28</f>
        <v>23206.910000000007</v>
      </c>
      <c r="F40" s="23">
        <f>PH2!F38+OPT2!F28+MS2!F18+MA2!F38+MTS2!F28+'ES2'!F18+'CS2'!F38+'CH2'!F38+BYS2!F38+BTSE2!F31+AST2!F18+ATS2!F28</f>
        <v>20263.68</v>
      </c>
      <c r="G40" s="23">
        <f>PH2!G38+OPT2!G28+MS2!G18+MA2!G38+MTS2!G28+'ES2'!G18+'CS2'!G38+'CH2'!G38+BYS2!G38+BTSE2!G31+AST2!G18+ATS2!G28</f>
        <v>43470.590000000004</v>
      </c>
      <c r="H40" s="24">
        <f>PH2!H38+OPT2!H28+MS2!H18+MA2!H38+MTS2!H28+'ES2'!H18+'CS2'!H38+'CH2'!H38+BYS2!H38+BTSE2!H31+AST2!H18+ATS2!H28</f>
        <v>84860.67000000001</v>
      </c>
    </row>
    <row r="41" spans="1:8" ht="12.75" customHeight="1">
      <c r="A41" s="52" t="s">
        <v>58</v>
      </c>
      <c r="B41" s="23">
        <f>PH2!B39+OPT2!B29+MS2!B19+MA2!B39+MTS2!B29+'ES2'!B19+'CS2'!B39+'CH2'!B39+BYS2!B39+BTSE2!B32+AST2!B19+ATS2!B29</f>
        <v>30201.82</v>
      </c>
      <c r="C41" s="23">
        <f>PH2!C39+OPT2!C29+MS2!C19+MA2!C39+MTS2!C29+'ES2'!C19+'CS2'!C39+'CH2'!C39+BYS2!C39+BTSE2!C32+AST2!C19+ATS2!C29</f>
        <v>11073.53</v>
      </c>
      <c r="D41" s="23">
        <f>PH2!D39+OPT2!D29+MS2!D19+MA2!D39+MTS2!D29+'ES2'!D19+'CS2'!D39+'CH2'!D39+BYS2!D39+BTSE2!D32+AST2!D19+ATS2!D29</f>
        <v>41275.35</v>
      </c>
      <c r="E41" s="23">
        <f>PH2!E39+OPT2!E29+MS2!E19+MA2!E39+MTS2!E29+'ES2'!E19+'CS2'!E39+'CH2'!E39+BYS2!E39+BTSE2!E32+AST2!E19+ATS2!E29</f>
        <v>24226.19</v>
      </c>
      <c r="F41" s="23">
        <f>PH2!F39+OPT2!F29+MS2!F19+MA2!F39+MTS2!F29+'ES2'!F19+'CS2'!F39+'CH2'!F39+BYS2!F39+BTSE2!F32+AST2!F19+ATS2!F29</f>
        <v>23006.59</v>
      </c>
      <c r="G41" s="23">
        <f>PH2!G39+OPT2!G29+MS2!G19+MA2!G39+MTS2!G29+'ES2'!G19+'CS2'!G39+'CH2'!G39+BYS2!G39+BTSE2!G32+AST2!G19+ATS2!G29</f>
        <v>47232.78</v>
      </c>
      <c r="H41" s="24">
        <f>PH2!H39+OPT2!H29+MS2!H19+MA2!H39+MTS2!H29+'ES2'!H19+'CS2'!H39+'CH2'!H39+BYS2!H39+BTSE2!H32+AST2!H19+ATS2!H29</f>
        <v>88508.13</v>
      </c>
    </row>
    <row r="42" spans="1:8" ht="12.75" customHeight="1">
      <c r="A42" s="52" t="s">
        <v>60</v>
      </c>
      <c r="B42" s="23">
        <f>PH2!B40+OPT2!B30+MS2!B20+MA2!B40+MTS2!B30+'ES2'!B20+'CS2'!B40+'CH2'!B40+BYS2!B40+BTSE2!B33+AST2!B20+ATS2!B30</f>
        <v>32065.01</v>
      </c>
      <c r="C42" s="23">
        <f>PH2!C40+OPT2!C30+MS2!C20+MA2!C40+MTS2!C30+'ES2'!C20+'CS2'!C40+'CH2'!C40+BYS2!C40+BTSE2!C33+AST2!C20+ATS2!C30</f>
        <v>12199.9</v>
      </c>
      <c r="D42" s="23">
        <f>PH2!D40+OPT2!D30+MS2!D20+MA2!D40+MTS2!D30+'ES2'!D20+'CS2'!D40+'CH2'!D40+BYS2!D40+BTSE2!D33+AST2!D20+ATS2!D30</f>
        <v>44264.90999999999</v>
      </c>
      <c r="E42" s="23">
        <f>PH2!E40+OPT2!E30+MS2!E20+MA2!E40+MTS2!E30+'ES2'!E20+'CS2'!E40+'CH2'!E40+BYS2!E40+BTSE2!E33+AST2!E20+ATS2!E30</f>
        <v>21961.56</v>
      </c>
      <c r="F42" s="23">
        <f>PH2!F40+OPT2!F30+MS2!F20+MA2!F40+MTS2!F30+'ES2'!F20+'CS2'!F40+'CH2'!F40+BYS2!F40+BTSE2!F33+AST2!F20+ATS2!F30</f>
        <v>21540.39</v>
      </c>
      <c r="G42" s="23">
        <f>PH2!G40+OPT2!G30+MS2!G20+MA2!G40+MTS2!G30+'ES2'!G20+'CS2'!G40+'CH2'!G40+BYS2!G40+BTSE2!G33+AST2!G20+ATS2!G30</f>
        <v>43501.950000000004</v>
      </c>
      <c r="H42" s="24">
        <f>PH2!H40+OPT2!H30+MS2!H20+MA2!H40+MTS2!H30+'ES2'!H20+'CS2'!H40+'CH2'!H40+BYS2!H40+BTSE2!H33+AST2!H20+ATS2!H30</f>
        <v>87766.86000000002</v>
      </c>
    </row>
    <row r="43" spans="1:8" ht="12.75" customHeight="1">
      <c r="A43" s="28"/>
      <c r="B43" s="11"/>
      <c r="C43" s="11"/>
      <c r="D43" s="11"/>
      <c r="E43" s="11"/>
      <c r="F43" s="11"/>
      <c r="G43" s="11"/>
      <c r="H43" s="13"/>
    </row>
    <row r="46" ht="12.75" customHeight="1">
      <c r="A46" s="27" t="s">
        <v>51</v>
      </c>
    </row>
    <row r="47" ht="12.75" customHeight="1">
      <c r="A47" s="63" t="s">
        <v>45</v>
      </c>
    </row>
    <row r="49" ht="12.75" customHeight="1">
      <c r="A49" s="62" t="s">
        <v>39</v>
      </c>
    </row>
  </sheetData>
  <printOptions/>
  <pageMargins left="1" right="0.25" top="1" bottom="0.75" header="0.5" footer="0.25"/>
  <pageSetup fitToHeight="1" fitToWidth="1" horizontalDpi="300" verticalDpi="300" orientation="landscape" scale="79" r:id="rId1"/>
  <headerFooter alignWithMargins="0">
    <oddHeader>&amp;CThe University of Alabama in Huntsville
Unit Academic Reports 
</oddHeader>
    <oddFooter>&amp;L&amp;8Office of Institutional Research
&amp;D (np)
&amp;F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workbookViewId="0" topLeftCell="A1">
      <selection activeCell="A2" sqref="A2"/>
    </sheetView>
  </sheetViews>
  <sheetFormatPr defaultColWidth="9.140625" defaultRowHeight="12.75"/>
  <cols>
    <col min="1" max="1" width="20.421875" style="0" customWidth="1"/>
    <col min="2" max="18" width="7.28125" style="0" customWidth="1"/>
  </cols>
  <sheetData>
    <row r="1" ht="12.75">
      <c r="A1" s="72" t="s">
        <v>59</v>
      </c>
    </row>
    <row r="3" spans="1:18" ht="12.75">
      <c r="A3" s="7"/>
      <c r="B3" s="34" t="s">
        <v>1</v>
      </c>
      <c r="C3" s="35"/>
      <c r="D3" s="34" t="s">
        <v>2</v>
      </c>
      <c r="E3" s="35"/>
      <c r="F3" s="34" t="s">
        <v>3</v>
      </c>
      <c r="G3" s="35"/>
      <c r="H3" s="34" t="s">
        <v>4</v>
      </c>
      <c r="I3" s="35"/>
      <c r="J3" s="34" t="s">
        <v>5</v>
      </c>
      <c r="K3" s="35"/>
      <c r="L3" s="127" t="s">
        <v>6</v>
      </c>
      <c r="M3" s="128"/>
      <c r="N3" s="73" t="s">
        <v>40</v>
      </c>
      <c r="O3" s="73"/>
      <c r="P3" s="34" t="s">
        <v>7</v>
      </c>
      <c r="Q3" s="35"/>
      <c r="R3" s="30" t="s">
        <v>8</v>
      </c>
    </row>
    <row r="4" spans="1:18" ht="12.75">
      <c r="A4" s="7" t="s">
        <v>67</v>
      </c>
      <c r="B4" s="31" t="s">
        <v>9</v>
      </c>
      <c r="C4" s="32" t="s">
        <v>10</v>
      </c>
      <c r="D4" s="31" t="s">
        <v>9</v>
      </c>
      <c r="E4" s="32" t="s">
        <v>10</v>
      </c>
      <c r="F4" s="31" t="s">
        <v>9</v>
      </c>
      <c r="G4" s="32" t="s">
        <v>10</v>
      </c>
      <c r="H4" s="31" t="s">
        <v>9</v>
      </c>
      <c r="I4" s="32" t="s">
        <v>10</v>
      </c>
      <c r="J4" s="31" t="s">
        <v>9</v>
      </c>
      <c r="K4" s="32" t="s">
        <v>10</v>
      </c>
      <c r="L4" s="31" t="s">
        <v>9</v>
      </c>
      <c r="M4" s="32" t="s">
        <v>10</v>
      </c>
      <c r="N4" s="31" t="s">
        <v>9</v>
      </c>
      <c r="O4" s="32" t="s">
        <v>10</v>
      </c>
      <c r="P4" s="31" t="s">
        <v>9</v>
      </c>
      <c r="Q4" s="32" t="s">
        <v>10</v>
      </c>
      <c r="R4" s="33" t="s">
        <v>7</v>
      </c>
    </row>
    <row r="5" spans="1:18" ht="12.75">
      <c r="A5" s="7"/>
      <c r="B5" s="14"/>
      <c r="C5" s="15"/>
      <c r="D5" s="14"/>
      <c r="E5" s="15"/>
      <c r="F5" s="14"/>
      <c r="G5" s="15"/>
      <c r="H5" s="14"/>
      <c r="I5" s="15"/>
      <c r="J5" s="14"/>
      <c r="K5" s="15"/>
      <c r="L5" s="14"/>
      <c r="M5" s="15"/>
      <c r="N5" s="74"/>
      <c r="O5" s="74"/>
      <c r="P5" s="14"/>
      <c r="Q5" s="15"/>
      <c r="R5" s="16"/>
    </row>
    <row r="6" spans="1:18" ht="12.75">
      <c r="A6" s="7" t="s">
        <v>43</v>
      </c>
      <c r="B6" s="133"/>
      <c r="C6" s="134"/>
      <c r="D6" s="133"/>
      <c r="E6" s="134"/>
      <c r="F6" s="133"/>
      <c r="G6" s="134"/>
      <c r="H6" s="133"/>
      <c r="I6" s="134"/>
      <c r="J6" s="133"/>
      <c r="K6" s="134"/>
      <c r="L6" s="133"/>
      <c r="M6" s="134"/>
      <c r="N6" s="133"/>
      <c r="O6" s="134"/>
      <c r="P6" s="133"/>
      <c r="Q6" s="134"/>
      <c r="R6" s="135"/>
    </row>
    <row r="7" spans="1:18" ht="12.75">
      <c r="A7" s="17" t="s">
        <v>46</v>
      </c>
      <c r="B7" s="133"/>
      <c r="C7" s="134"/>
      <c r="D7" s="133"/>
      <c r="E7" s="134"/>
      <c r="F7" s="133"/>
      <c r="G7" s="134"/>
      <c r="H7" s="133"/>
      <c r="I7" s="134"/>
      <c r="J7" s="133"/>
      <c r="K7" s="134"/>
      <c r="L7" s="133"/>
      <c r="M7" s="134"/>
      <c r="N7" s="133"/>
      <c r="O7" s="134"/>
      <c r="P7" s="133"/>
      <c r="Q7" s="134"/>
      <c r="R7" s="135"/>
    </row>
    <row r="8" spans="1:18" ht="12.75">
      <c r="A8" s="17" t="s">
        <v>49</v>
      </c>
      <c r="B8" s="133"/>
      <c r="C8" s="134"/>
      <c r="D8" s="133"/>
      <c r="E8" s="134"/>
      <c r="F8" s="133"/>
      <c r="G8" s="134"/>
      <c r="H8" s="133"/>
      <c r="I8" s="134"/>
      <c r="J8" s="133"/>
      <c r="K8" s="134"/>
      <c r="L8" s="133"/>
      <c r="M8" s="134"/>
      <c r="N8" s="133"/>
      <c r="O8" s="134"/>
      <c r="P8" s="133"/>
      <c r="Q8" s="134"/>
      <c r="R8" s="135"/>
    </row>
    <row r="9" spans="1:18" ht="12.75">
      <c r="A9" s="17" t="s">
        <v>58</v>
      </c>
      <c r="B9" s="114">
        <v>1</v>
      </c>
      <c r="C9" s="115">
        <v>0</v>
      </c>
      <c r="D9" s="114">
        <v>0</v>
      </c>
      <c r="E9" s="115">
        <v>0</v>
      </c>
      <c r="F9" s="114">
        <v>0</v>
      </c>
      <c r="G9" s="115">
        <v>0</v>
      </c>
      <c r="H9" s="114">
        <v>0</v>
      </c>
      <c r="I9" s="115">
        <v>0</v>
      </c>
      <c r="J9" s="114">
        <v>0</v>
      </c>
      <c r="K9" s="115">
        <v>0</v>
      </c>
      <c r="L9" s="114">
        <v>0</v>
      </c>
      <c r="M9" s="115">
        <v>0</v>
      </c>
      <c r="N9" s="114">
        <v>0</v>
      </c>
      <c r="O9" s="115">
        <v>0</v>
      </c>
      <c r="P9" s="114">
        <f>SUM(B9,D9,F9,H9,J9,L9,N9)</f>
        <v>1</v>
      </c>
      <c r="Q9" s="115">
        <f>SUM(C9,E9,G9,I9,K9,M9,O9)</f>
        <v>0</v>
      </c>
      <c r="R9" s="58">
        <f>SUM(P9:Q9)</f>
        <v>1</v>
      </c>
    </row>
    <row r="10" spans="1:18" ht="12.75">
      <c r="A10" s="52" t="s">
        <v>60</v>
      </c>
      <c r="B10" s="114">
        <v>2</v>
      </c>
      <c r="C10" s="115">
        <v>0</v>
      </c>
      <c r="D10" s="114">
        <v>0</v>
      </c>
      <c r="E10" s="115">
        <v>0</v>
      </c>
      <c r="F10" s="114">
        <v>0</v>
      </c>
      <c r="G10" s="115">
        <v>0</v>
      </c>
      <c r="H10" s="114">
        <v>0</v>
      </c>
      <c r="I10" s="115">
        <v>0</v>
      </c>
      <c r="J10" s="114">
        <v>0</v>
      </c>
      <c r="K10" s="115">
        <v>0</v>
      </c>
      <c r="L10" s="114">
        <v>0</v>
      </c>
      <c r="M10" s="115">
        <v>0</v>
      </c>
      <c r="N10" s="114">
        <v>0</v>
      </c>
      <c r="O10" s="115">
        <v>0</v>
      </c>
      <c r="P10" s="114">
        <f>SUM(B10,D10,F10,H10,J10,L10,N10)</f>
        <v>2</v>
      </c>
      <c r="Q10" s="115">
        <f>SUM(C10,E10,G10,I10,K10,M10,O10)</f>
        <v>0</v>
      </c>
      <c r="R10" s="58">
        <f>SUM(P10:Q10)</f>
        <v>2</v>
      </c>
    </row>
    <row r="11" spans="1:18" ht="12.75">
      <c r="A11" s="3"/>
      <c r="B11" s="11"/>
      <c r="C11" s="12"/>
      <c r="D11" s="11"/>
      <c r="E11" s="12"/>
      <c r="F11" s="11"/>
      <c r="G11" s="12"/>
      <c r="H11" s="11"/>
      <c r="I11" s="12"/>
      <c r="J11" s="11"/>
      <c r="K11" s="12"/>
      <c r="L11" s="11"/>
      <c r="M11" s="12"/>
      <c r="N11" s="20"/>
      <c r="O11" s="20"/>
      <c r="P11" s="11"/>
      <c r="Q11" s="12"/>
      <c r="R11" s="13"/>
    </row>
    <row r="13" spans="1:18" ht="12.75">
      <c r="A13" s="26" t="s">
        <v>11</v>
      </c>
      <c r="B13" s="111"/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  <c r="P13" s="111"/>
      <c r="Q13" s="111"/>
      <c r="R13" s="111"/>
    </row>
    <row r="14" spans="1:18" ht="12.75">
      <c r="A14" s="26" t="s">
        <v>12</v>
      </c>
      <c r="B14" s="132" t="s">
        <v>1</v>
      </c>
      <c r="C14" s="132"/>
      <c r="D14" s="132" t="s">
        <v>2</v>
      </c>
      <c r="E14" s="132"/>
      <c r="F14" s="132" t="s">
        <v>3</v>
      </c>
      <c r="G14" s="132"/>
      <c r="H14" s="132" t="s">
        <v>4</v>
      </c>
      <c r="I14" s="132"/>
      <c r="J14" s="132" t="s">
        <v>5</v>
      </c>
      <c r="K14" s="132"/>
      <c r="L14" s="132" t="s">
        <v>6</v>
      </c>
      <c r="M14" s="132"/>
      <c r="N14" s="132" t="s">
        <v>40</v>
      </c>
      <c r="O14" s="132"/>
      <c r="P14" s="132" t="s">
        <v>7</v>
      </c>
      <c r="Q14" s="132"/>
      <c r="R14" s="37" t="s">
        <v>8</v>
      </c>
    </row>
    <row r="15" spans="1:18" ht="12.75">
      <c r="A15" s="26" t="s">
        <v>13</v>
      </c>
      <c r="B15" s="121" t="s">
        <v>9</v>
      </c>
      <c r="C15" s="122" t="s">
        <v>10</v>
      </c>
      <c r="D15" s="121" t="s">
        <v>9</v>
      </c>
      <c r="E15" s="122" t="s">
        <v>10</v>
      </c>
      <c r="F15" s="121" t="s">
        <v>9</v>
      </c>
      <c r="G15" s="122" t="s">
        <v>10</v>
      </c>
      <c r="H15" s="121" t="s">
        <v>9</v>
      </c>
      <c r="I15" s="122" t="s">
        <v>10</v>
      </c>
      <c r="J15" s="121" t="s">
        <v>9</v>
      </c>
      <c r="K15" s="122" t="s">
        <v>10</v>
      </c>
      <c r="L15" s="121" t="s">
        <v>9</v>
      </c>
      <c r="M15" s="122" t="s">
        <v>10</v>
      </c>
      <c r="N15" s="121" t="s">
        <v>9</v>
      </c>
      <c r="O15" s="122" t="s">
        <v>10</v>
      </c>
      <c r="P15" s="121" t="s">
        <v>9</v>
      </c>
      <c r="Q15" s="122" t="s">
        <v>10</v>
      </c>
      <c r="R15" s="37" t="s">
        <v>7</v>
      </c>
    </row>
    <row r="16" spans="1:18" ht="10.5" customHeight="1">
      <c r="A16" s="26"/>
      <c r="B16" s="112"/>
      <c r="C16" s="113"/>
      <c r="D16" s="112"/>
      <c r="E16" s="113"/>
      <c r="F16" s="112"/>
      <c r="G16" s="113"/>
      <c r="H16" s="112"/>
      <c r="I16" s="113"/>
      <c r="J16" s="112"/>
      <c r="K16" s="113"/>
      <c r="L16" s="112"/>
      <c r="M16" s="113"/>
      <c r="N16" s="112"/>
      <c r="O16" s="116"/>
      <c r="P16" s="112"/>
      <c r="Q16" s="113"/>
      <c r="R16" s="113"/>
    </row>
    <row r="17" spans="1:18" ht="12.75">
      <c r="A17" s="26" t="s">
        <v>43</v>
      </c>
      <c r="B17" s="133"/>
      <c r="C17" s="134"/>
      <c r="D17" s="133"/>
      <c r="E17" s="134"/>
      <c r="F17" s="133"/>
      <c r="G17" s="134"/>
      <c r="H17" s="133"/>
      <c r="I17" s="134"/>
      <c r="J17" s="133"/>
      <c r="K17" s="134"/>
      <c r="L17" s="133"/>
      <c r="M17" s="134"/>
      <c r="N17" s="133"/>
      <c r="O17" s="136"/>
      <c r="P17" s="133"/>
      <c r="Q17" s="134"/>
      <c r="R17" s="135"/>
    </row>
    <row r="18" spans="1:18" ht="12.75">
      <c r="A18" s="26" t="s">
        <v>46</v>
      </c>
      <c r="B18" s="133"/>
      <c r="C18" s="134"/>
      <c r="D18" s="133"/>
      <c r="E18" s="134"/>
      <c r="F18" s="133"/>
      <c r="G18" s="134"/>
      <c r="H18" s="133"/>
      <c r="I18" s="134"/>
      <c r="J18" s="133"/>
      <c r="K18" s="134"/>
      <c r="L18" s="133"/>
      <c r="M18" s="134"/>
      <c r="N18" s="133"/>
      <c r="O18" s="136"/>
      <c r="P18" s="133"/>
      <c r="Q18" s="134"/>
      <c r="R18" s="135"/>
    </row>
    <row r="19" spans="1:18" ht="12.75">
      <c r="A19" s="26" t="s">
        <v>49</v>
      </c>
      <c r="B19" s="133"/>
      <c r="C19" s="134"/>
      <c r="D19" s="133"/>
      <c r="E19" s="134"/>
      <c r="F19" s="133"/>
      <c r="G19" s="134"/>
      <c r="H19" s="133"/>
      <c r="I19" s="134"/>
      <c r="J19" s="133"/>
      <c r="K19" s="134"/>
      <c r="L19" s="133"/>
      <c r="M19" s="134"/>
      <c r="N19" s="133"/>
      <c r="O19" s="136"/>
      <c r="P19" s="133"/>
      <c r="Q19" s="134"/>
      <c r="R19" s="135"/>
    </row>
    <row r="20" spans="1:18" ht="12.75">
      <c r="A20" s="26" t="s">
        <v>58</v>
      </c>
      <c r="B20" s="114">
        <v>2</v>
      </c>
      <c r="C20" s="115">
        <v>0</v>
      </c>
      <c r="D20" s="114">
        <v>0</v>
      </c>
      <c r="E20" s="115">
        <v>0</v>
      </c>
      <c r="F20" s="114">
        <v>0</v>
      </c>
      <c r="G20" s="115">
        <v>0</v>
      </c>
      <c r="H20" s="114">
        <v>0</v>
      </c>
      <c r="I20" s="115">
        <v>0</v>
      </c>
      <c r="J20" s="114">
        <v>0</v>
      </c>
      <c r="K20" s="115">
        <v>0</v>
      </c>
      <c r="L20" s="114">
        <v>0</v>
      </c>
      <c r="M20" s="115">
        <v>0</v>
      </c>
      <c r="N20" s="114">
        <v>0</v>
      </c>
      <c r="O20" s="115">
        <v>0</v>
      </c>
      <c r="P20" s="114">
        <f>SUM(B20,D20,F20,H20,J20,L20,N20)</f>
        <v>2</v>
      </c>
      <c r="Q20" s="115">
        <f>SUM(C20,E20,G20,I20,K20,M20,O20)</f>
        <v>0</v>
      </c>
      <c r="R20" s="58">
        <f>SUM(P20:Q20)</f>
        <v>2</v>
      </c>
    </row>
    <row r="21" spans="1:18" ht="12.75">
      <c r="A21" s="52" t="s">
        <v>60</v>
      </c>
      <c r="B21" s="114">
        <v>1</v>
      </c>
      <c r="C21" s="115">
        <v>0</v>
      </c>
      <c r="D21" s="114">
        <v>0</v>
      </c>
      <c r="E21" s="115">
        <v>0</v>
      </c>
      <c r="F21" s="114">
        <v>0</v>
      </c>
      <c r="G21" s="115">
        <v>0</v>
      </c>
      <c r="H21" s="114">
        <v>0</v>
      </c>
      <c r="I21" s="115">
        <v>0</v>
      </c>
      <c r="J21" s="114">
        <v>0</v>
      </c>
      <c r="K21" s="115">
        <v>0</v>
      </c>
      <c r="L21" s="114">
        <v>0</v>
      </c>
      <c r="M21" s="115">
        <v>0</v>
      </c>
      <c r="N21" s="114">
        <v>0</v>
      </c>
      <c r="O21" s="115">
        <v>0</v>
      </c>
      <c r="P21" s="114">
        <f>SUM(B21,D21,F21,H21,J21,L21,N21)</f>
        <v>1</v>
      </c>
      <c r="Q21" s="115">
        <f>SUM(C21,E21,G21,I21,K21,M21,O21)</f>
        <v>0</v>
      </c>
      <c r="R21" s="58">
        <f>SUM(P21:Q21)</f>
        <v>1</v>
      </c>
    </row>
    <row r="22" spans="2:18" ht="12.75">
      <c r="B22" s="84"/>
      <c r="C22" s="86"/>
      <c r="D22" s="84"/>
      <c r="E22" s="86"/>
      <c r="F22" s="84"/>
      <c r="G22" s="86"/>
      <c r="H22" s="84"/>
      <c r="I22" s="86"/>
      <c r="J22" s="84"/>
      <c r="K22" s="86"/>
      <c r="L22" s="84"/>
      <c r="M22" s="86"/>
      <c r="N22" s="84"/>
      <c r="O22" s="86"/>
      <c r="P22" s="84"/>
      <c r="Q22" s="86"/>
      <c r="R22" s="100"/>
    </row>
  </sheetData>
  <mergeCells count="9">
    <mergeCell ref="L3:M3"/>
    <mergeCell ref="J14:K14"/>
    <mergeCell ref="L14:M14"/>
    <mergeCell ref="N14:O14"/>
    <mergeCell ref="P14:Q14"/>
    <mergeCell ref="B14:C14"/>
    <mergeCell ref="D14:E14"/>
    <mergeCell ref="F14:G14"/>
    <mergeCell ref="H14:I14"/>
  </mergeCells>
  <printOptions/>
  <pageMargins left="1" right="0.25" top="1" bottom="0.75" header="0.5" footer="0.25"/>
  <pageSetup fitToHeight="1" fitToWidth="1" horizontalDpi="600" verticalDpi="600" orientation="landscape" scale="87" r:id="rId1"/>
  <headerFooter alignWithMargins="0">
    <oddHeader>&amp;CThe University of Alabama in Huntsville
Unit Academic Reports 
</oddHeader>
    <oddFooter>&amp;L&amp;8Office of Institutional Research
&amp;D (np)
&amp;F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workbookViewId="0" topLeftCell="A1">
      <selection activeCell="A2" sqref="A2"/>
    </sheetView>
  </sheetViews>
  <sheetFormatPr defaultColWidth="9.140625" defaultRowHeight="12.75"/>
  <cols>
    <col min="1" max="1" width="25.140625" style="0" customWidth="1"/>
    <col min="2" max="4" width="13.421875" style="0" bestFit="1" customWidth="1"/>
    <col min="6" max="8" width="10.421875" style="0" bestFit="1" customWidth="1"/>
  </cols>
  <sheetData>
    <row r="1" spans="1:5" ht="12.75">
      <c r="A1" s="18" t="s">
        <v>59</v>
      </c>
      <c r="B1" s="2"/>
      <c r="C1" s="2"/>
      <c r="D1" s="2"/>
      <c r="E1" s="2"/>
    </row>
    <row r="2" spans="1:5" ht="12.75">
      <c r="A2" s="18"/>
      <c r="B2" s="2"/>
      <c r="C2" s="2"/>
      <c r="D2" s="2"/>
      <c r="E2" s="2"/>
    </row>
    <row r="3" spans="1:5" ht="12.75">
      <c r="A3" s="7" t="s">
        <v>11</v>
      </c>
      <c r="B3" s="3"/>
      <c r="C3" s="3"/>
      <c r="D3" s="3"/>
      <c r="E3" s="3"/>
    </row>
    <row r="4" spans="1:8" ht="12.75">
      <c r="A4" s="7" t="s">
        <v>12</v>
      </c>
      <c r="B4" s="37" t="s">
        <v>16</v>
      </c>
      <c r="C4" s="37" t="s">
        <v>14</v>
      </c>
      <c r="D4" s="37" t="s">
        <v>15</v>
      </c>
      <c r="E4" s="28"/>
      <c r="F4" s="28"/>
      <c r="G4" s="28"/>
      <c r="H4" s="27"/>
    </row>
    <row r="5" spans="1:8" ht="12.75">
      <c r="A5" s="27"/>
      <c r="B5" s="10"/>
      <c r="C5" s="10"/>
      <c r="D5" s="10"/>
      <c r="H5" s="3"/>
    </row>
    <row r="6" spans="1:8" ht="12.75">
      <c r="A6" s="7" t="s">
        <v>43</v>
      </c>
      <c r="B6" s="126">
        <v>0</v>
      </c>
      <c r="C6" s="126">
        <v>0</v>
      </c>
      <c r="D6" s="126">
        <v>0</v>
      </c>
      <c r="E6" s="25"/>
      <c r="F6" s="25"/>
      <c r="G6" s="25"/>
      <c r="H6" s="2"/>
    </row>
    <row r="7" spans="1:8" ht="12.75">
      <c r="A7" s="52" t="s">
        <v>46</v>
      </c>
      <c r="B7" s="126">
        <v>0</v>
      </c>
      <c r="C7" s="126">
        <v>0</v>
      </c>
      <c r="D7" s="126">
        <v>0</v>
      </c>
      <c r="E7" s="25"/>
      <c r="F7" s="25"/>
      <c r="G7" s="25"/>
      <c r="H7" s="2"/>
    </row>
    <row r="8" spans="1:8" ht="12.75">
      <c r="A8" s="52" t="s">
        <v>49</v>
      </c>
      <c r="B8" s="126">
        <v>0</v>
      </c>
      <c r="C8" s="126">
        <v>0</v>
      </c>
      <c r="D8" s="126">
        <v>0</v>
      </c>
      <c r="E8" s="25"/>
      <c r="F8" s="25"/>
      <c r="G8" s="25"/>
      <c r="H8" s="2"/>
    </row>
    <row r="9" spans="1:8" ht="12.75">
      <c r="A9" s="52" t="s">
        <v>58</v>
      </c>
      <c r="B9" s="126">
        <v>0</v>
      </c>
      <c r="C9" s="16">
        <f>MOD!R20</f>
        <v>2</v>
      </c>
      <c r="D9" s="16">
        <v>1</v>
      </c>
      <c r="E9" s="25"/>
      <c r="F9" s="25"/>
      <c r="G9" s="25"/>
      <c r="H9" s="2"/>
    </row>
    <row r="10" spans="1:8" ht="12.75">
      <c r="A10" s="52" t="s">
        <v>60</v>
      </c>
      <c r="B10" s="16">
        <v>1</v>
      </c>
      <c r="C10" s="16">
        <f>MOD!R21</f>
        <v>1</v>
      </c>
      <c r="D10" s="16">
        <v>1</v>
      </c>
      <c r="E10" s="25"/>
      <c r="F10" s="25"/>
      <c r="G10" s="25"/>
      <c r="H10" s="2"/>
    </row>
    <row r="11" spans="1:8" ht="12.75">
      <c r="A11" s="28"/>
      <c r="B11" s="13"/>
      <c r="C11" s="13"/>
      <c r="D11" s="13"/>
      <c r="E11" s="3"/>
      <c r="F11" s="3"/>
      <c r="G11" s="3"/>
      <c r="H11" s="3"/>
    </row>
    <row r="12" spans="1:5" ht="12.75">
      <c r="A12" s="27"/>
      <c r="B12" s="3"/>
      <c r="C12" s="3"/>
      <c r="D12" s="3"/>
      <c r="E12" s="3"/>
    </row>
    <row r="13" spans="1:8" ht="12.75">
      <c r="A13" s="52"/>
      <c r="B13" s="52"/>
      <c r="C13" s="52"/>
      <c r="D13" s="52"/>
      <c r="E13" s="52"/>
      <c r="F13" s="52"/>
      <c r="G13" s="52"/>
      <c r="H13" s="52"/>
    </row>
    <row r="14" spans="1:8" ht="12.75">
      <c r="A14" s="52"/>
      <c r="B14" s="52"/>
      <c r="C14" s="52"/>
      <c r="D14" s="52"/>
      <c r="E14" s="52"/>
      <c r="F14" s="52"/>
      <c r="G14" s="52"/>
      <c r="H14" s="52"/>
    </row>
    <row r="15" spans="1:8" ht="12.75">
      <c r="A15" s="29"/>
      <c r="B15" s="2"/>
      <c r="C15" s="2"/>
      <c r="D15" s="2"/>
      <c r="E15" s="2"/>
      <c r="F15" s="2"/>
      <c r="G15" s="2"/>
      <c r="H15" s="2"/>
    </row>
    <row r="16" spans="1:8" ht="12.75">
      <c r="A16" s="17"/>
      <c r="B16" s="117"/>
      <c r="C16" s="117"/>
      <c r="D16" s="117"/>
      <c r="E16" s="117"/>
      <c r="F16" s="117"/>
      <c r="G16" s="117"/>
      <c r="H16" s="117"/>
    </row>
    <row r="17" spans="1:8" ht="12.75">
      <c r="A17" s="17"/>
      <c r="B17" s="117"/>
      <c r="C17" s="117"/>
      <c r="D17" s="117"/>
      <c r="E17" s="117"/>
      <c r="F17" s="117"/>
      <c r="G17" s="117"/>
      <c r="H17" s="117"/>
    </row>
    <row r="18" spans="1:8" ht="12.75">
      <c r="A18" s="52"/>
      <c r="B18" s="117"/>
      <c r="C18" s="117"/>
      <c r="D18" s="117"/>
      <c r="E18" s="117"/>
      <c r="F18" s="117"/>
      <c r="G18" s="117"/>
      <c r="H18" s="117"/>
    </row>
    <row r="19" spans="1:8" ht="12.75">
      <c r="A19" s="52"/>
      <c r="B19" s="117"/>
      <c r="C19" s="117"/>
      <c r="D19" s="117"/>
      <c r="E19" s="117"/>
      <c r="F19" s="117"/>
      <c r="G19" s="117"/>
      <c r="H19" s="117"/>
    </row>
    <row r="20" spans="1:8" ht="12.75">
      <c r="A20" s="52"/>
      <c r="B20" s="117"/>
      <c r="C20" s="117"/>
      <c r="D20" s="117"/>
      <c r="E20" s="117"/>
      <c r="F20" s="117"/>
      <c r="G20" s="117"/>
      <c r="H20" s="117"/>
    </row>
    <row r="21" spans="1:8" ht="12.75">
      <c r="A21" s="118"/>
      <c r="B21" s="2"/>
      <c r="C21" s="2"/>
      <c r="D21" s="2"/>
      <c r="E21" s="2"/>
      <c r="F21" s="2"/>
      <c r="G21" s="2"/>
      <c r="H21" s="2"/>
    </row>
    <row r="22" spans="1:8" ht="12.75">
      <c r="A22" s="29"/>
      <c r="B22" s="2"/>
      <c r="C22" s="2"/>
      <c r="D22" s="2"/>
      <c r="E22" s="2"/>
      <c r="F22" s="2"/>
      <c r="G22" s="2"/>
      <c r="H22" s="2"/>
    </row>
    <row r="23" spans="1:8" ht="12.75">
      <c r="A23" s="52"/>
      <c r="B23" s="52"/>
      <c r="C23" s="52"/>
      <c r="D23" s="52"/>
      <c r="E23" s="52"/>
      <c r="F23" s="52"/>
      <c r="G23" s="52"/>
      <c r="H23" s="52"/>
    </row>
    <row r="24" spans="1:8" ht="12.75">
      <c r="A24" s="119"/>
      <c r="B24" s="52"/>
      <c r="C24" s="52"/>
      <c r="D24" s="52"/>
      <c r="E24" s="52"/>
      <c r="F24" s="52"/>
      <c r="G24" s="52"/>
      <c r="H24" s="52"/>
    </row>
    <row r="25" spans="1:8" ht="12.75">
      <c r="A25" s="29"/>
      <c r="B25" s="53"/>
      <c r="C25" s="53"/>
      <c r="D25" s="53"/>
      <c r="E25" s="53"/>
      <c r="F25" s="53"/>
      <c r="G25" s="53"/>
      <c r="H25" s="53"/>
    </row>
    <row r="26" spans="1:8" ht="12.75">
      <c r="A26" s="17"/>
      <c r="B26" s="120"/>
      <c r="C26" s="120"/>
      <c r="D26" s="120"/>
      <c r="E26" s="120"/>
      <c r="F26" s="120"/>
      <c r="G26" s="120"/>
      <c r="H26" s="120"/>
    </row>
    <row r="27" spans="1:8" ht="12.75">
      <c r="A27" s="17"/>
      <c r="B27" s="120"/>
      <c r="C27" s="120"/>
      <c r="D27" s="120"/>
      <c r="E27" s="120"/>
      <c r="F27" s="120"/>
      <c r="G27" s="120"/>
      <c r="H27" s="120"/>
    </row>
    <row r="28" spans="1:8" ht="12.75">
      <c r="A28" s="52"/>
      <c r="B28" s="120"/>
      <c r="C28" s="120"/>
      <c r="D28" s="120"/>
      <c r="E28" s="120"/>
      <c r="F28" s="120"/>
      <c r="G28" s="120"/>
      <c r="H28" s="120"/>
    </row>
    <row r="29" spans="1:8" ht="12.75">
      <c r="A29" s="52"/>
      <c r="B29" s="120"/>
      <c r="C29" s="120"/>
      <c r="D29" s="120"/>
      <c r="E29" s="120"/>
      <c r="F29" s="120"/>
      <c r="G29" s="120"/>
      <c r="H29" s="120"/>
    </row>
    <row r="30" spans="1:8" ht="12.75">
      <c r="A30" s="52"/>
      <c r="B30" s="120"/>
      <c r="C30" s="120"/>
      <c r="D30" s="120"/>
      <c r="E30" s="120"/>
      <c r="F30" s="120"/>
      <c r="G30" s="120"/>
      <c r="H30" s="120"/>
    </row>
    <row r="31" spans="1:8" ht="12.75">
      <c r="A31" s="118"/>
      <c r="B31" s="2"/>
      <c r="C31" s="2"/>
      <c r="D31" s="2"/>
      <c r="E31" s="2"/>
      <c r="F31" s="2"/>
      <c r="G31" s="2"/>
      <c r="H31" s="2"/>
    </row>
    <row r="32" spans="1:8" ht="12.75">
      <c r="A32" s="29"/>
      <c r="B32" s="2"/>
      <c r="C32" s="2"/>
      <c r="D32" s="2"/>
      <c r="E32" s="2"/>
      <c r="F32" s="25"/>
      <c r="G32" s="25"/>
      <c r="H32" s="25"/>
    </row>
    <row r="33" spans="1:8" ht="12.75">
      <c r="A33" s="27"/>
      <c r="B33" s="3"/>
      <c r="C33" s="3"/>
      <c r="D33" s="3"/>
      <c r="E33" s="3"/>
      <c r="F33" s="3"/>
      <c r="G33" s="3"/>
      <c r="H33" s="3"/>
    </row>
  </sheetData>
  <printOptions/>
  <pageMargins left="1" right="0.25" top="1" bottom="0.75" header="0.5" footer="0.25"/>
  <pageSetup fitToHeight="1" fitToWidth="1" horizontalDpi="600" verticalDpi="600" orientation="landscape" r:id="rId1"/>
  <headerFooter alignWithMargins="0">
    <oddHeader>&amp;CThe University of Alabama in Huntsville
Unit Academic Reports 
</oddHeader>
    <oddFooter>&amp;L&amp;8Office of Institutional Research
&amp;D (np)
&amp;F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7"/>
  <sheetViews>
    <sheetView workbookViewId="0" topLeftCell="A1">
      <selection activeCell="A2" sqref="A2"/>
    </sheetView>
  </sheetViews>
  <sheetFormatPr defaultColWidth="9.140625" defaultRowHeight="12.75" customHeight="1"/>
  <cols>
    <col min="1" max="1" width="25.7109375" style="27" customWidth="1"/>
    <col min="2" max="8" width="14.7109375" style="3" customWidth="1"/>
    <col min="9" max="16384" width="9.140625" style="3" customWidth="1"/>
  </cols>
  <sheetData>
    <row r="1" spans="1:8" ht="12.75" customHeight="1">
      <c r="A1" s="61" t="s">
        <v>38</v>
      </c>
      <c r="F1"/>
      <c r="G1"/>
      <c r="H1"/>
    </row>
    <row r="2" spans="1:8" ht="12.75" customHeight="1">
      <c r="A2" s="1"/>
      <c r="F2"/>
      <c r="G2"/>
      <c r="H2"/>
    </row>
    <row r="3" spans="1:8" s="38" customFormat="1" ht="12.75" customHeight="1">
      <c r="A3" s="26" t="s">
        <v>48</v>
      </c>
      <c r="B3" s="40" t="s">
        <v>17</v>
      </c>
      <c r="C3" s="40" t="s">
        <v>17</v>
      </c>
      <c r="D3" s="40" t="s">
        <v>7</v>
      </c>
      <c r="E3" s="40" t="s">
        <v>11</v>
      </c>
      <c r="F3" s="40" t="s">
        <v>11</v>
      </c>
      <c r="G3" s="41" t="s">
        <v>7</v>
      </c>
      <c r="H3" s="41" t="s">
        <v>8</v>
      </c>
    </row>
    <row r="4" spans="1:8" s="38" customFormat="1" ht="12.75" customHeight="1">
      <c r="A4" s="26"/>
      <c r="B4" s="42" t="s">
        <v>18</v>
      </c>
      <c r="C4" s="42" t="s">
        <v>19</v>
      </c>
      <c r="D4" s="42" t="s">
        <v>17</v>
      </c>
      <c r="E4" s="42" t="s">
        <v>20</v>
      </c>
      <c r="F4" s="42" t="s">
        <v>21</v>
      </c>
      <c r="G4" s="43" t="s">
        <v>11</v>
      </c>
      <c r="H4" s="43" t="s">
        <v>7</v>
      </c>
    </row>
    <row r="5" spans="2:8" ht="12.75" customHeight="1">
      <c r="B5" s="4"/>
      <c r="C5" s="4"/>
      <c r="D5" s="4"/>
      <c r="E5" s="4"/>
      <c r="F5" s="4"/>
      <c r="G5" s="4"/>
      <c r="H5" s="10"/>
    </row>
    <row r="6" spans="1:8" ht="12.75" customHeight="1">
      <c r="A6" s="7" t="s">
        <v>43</v>
      </c>
      <c r="B6" s="50">
        <v>4</v>
      </c>
      <c r="C6" s="50">
        <v>14</v>
      </c>
      <c r="D6" s="50">
        <f>C6+B6</f>
        <v>18</v>
      </c>
      <c r="E6" s="50">
        <v>16</v>
      </c>
      <c r="F6" s="50">
        <v>0</v>
      </c>
      <c r="G6" s="50">
        <f>F6+E6</f>
        <v>16</v>
      </c>
      <c r="H6" s="51">
        <f>G6+D6</f>
        <v>34</v>
      </c>
    </row>
    <row r="7" spans="1:8" ht="12.75" customHeight="1">
      <c r="A7" s="52" t="s">
        <v>46</v>
      </c>
      <c r="B7" s="50">
        <v>12</v>
      </c>
      <c r="C7" s="50">
        <v>4</v>
      </c>
      <c r="D7" s="50">
        <f>C7+B7</f>
        <v>16</v>
      </c>
      <c r="E7" s="50">
        <v>12</v>
      </c>
      <c r="F7" s="50">
        <v>0</v>
      </c>
      <c r="G7" s="50">
        <f>F7+E7</f>
        <v>12</v>
      </c>
      <c r="H7" s="51">
        <f>G7+D7</f>
        <v>28</v>
      </c>
    </row>
    <row r="8" spans="1:8" ht="12.75" customHeight="1">
      <c r="A8" s="52" t="s">
        <v>49</v>
      </c>
      <c r="B8" s="50">
        <v>12</v>
      </c>
      <c r="C8" s="50">
        <v>0</v>
      </c>
      <c r="D8" s="50">
        <f>C8+B8</f>
        <v>12</v>
      </c>
      <c r="E8" s="50">
        <v>12</v>
      </c>
      <c r="F8" s="50">
        <v>0</v>
      </c>
      <c r="G8" s="50">
        <f>F8+E8</f>
        <v>12</v>
      </c>
      <c r="H8" s="51">
        <f>G8+D8</f>
        <v>24</v>
      </c>
    </row>
    <row r="9" spans="1:8" ht="12.75" customHeight="1">
      <c r="A9" s="52" t="s">
        <v>58</v>
      </c>
      <c r="B9" s="50">
        <v>20</v>
      </c>
      <c r="C9" s="50">
        <v>12</v>
      </c>
      <c r="D9" s="50">
        <f>C9+B9</f>
        <v>32</v>
      </c>
      <c r="E9" s="50">
        <v>8</v>
      </c>
      <c r="F9" s="50">
        <v>0</v>
      </c>
      <c r="G9" s="50">
        <f>F9+E9</f>
        <v>8</v>
      </c>
      <c r="H9" s="51">
        <f>G9+D9</f>
        <v>40</v>
      </c>
    </row>
    <row r="10" spans="1:8" ht="12.75" customHeight="1">
      <c r="A10" s="52" t="s">
        <v>60</v>
      </c>
      <c r="B10" s="50">
        <v>0</v>
      </c>
      <c r="C10" s="50">
        <v>26</v>
      </c>
      <c r="D10" s="50">
        <f>C10+B10</f>
        <v>26</v>
      </c>
      <c r="E10" s="50">
        <v>4</v>
      </c>
      <c r="F10" s="50">
        <v>0</v>
      </c>
      <c r="G10" s="50">
        <f>F10+E10</f>
        <v>4</v>
      </c>
      <c r="H10" s="51">
        <f>G10+D10</f>
        <v>30</v>
      </c>
    </row>
    <row r="11" spans="1:8" ht="12.75" customHeight="1">
      <c r="A11" s="28"/>
      <c r="B11" s="11"/>
      <c r="C11" s="11"/>
      <c r="D11" s="11"/>
      <c r="E11" s="11"/>
      <c r="F11" s="11"/>
      <c r="G11" s="11"/>
      <c r="H11" s="13"/>
    </row>
    <row r="13" spans="1:8" s="38" customFormat="1" ht="12.75" customHeight="1">
      <c r="A13" s="26" t="s">
        <v>47</v>
      </c>
      <c r="B13" s="40" t="s">
        <v>17</v>
      </c>
      <c r="C13" s="40" t="s">
        <v>17</v>
      </c>
      <c r="D13" s="40" t="s">
        <v>7</v>
      </c>
      <c r="E13" s="40" t="s">
        <v>11</v>
      </c>
      <c r="F13" s="40" t="s">
        <v>22</v>
      </c>
      <c r="G13" s="40" t="s">
        <v>23</v>
      </c>
      <c r="H13" s="41" t="s">
        <v>8</v>
      </c>
    </row>
    <row r="14" spans="2:8" s="38" customFormat="1" ht="12.75" customHeight="1">
      <c r="B14" s="42" t="s">
        <v>18</v>
      </c>
      <c r="C14" s="42" t="s">
        <v>19</v>
      </c>
      <c r="D14" s="42" t="s">
        <v>17</v>
      </c>
      <c r="E14" s="42" t="s">
        <v>20</v>
      </c>
      <c r="F14" s="42" t="s">
        <v>21</v>
      </c>
      <c r="G14" s="42" t="s">
        <v>11</v>
      </c>
      <c r="H14" s="43" t="s">
        <v>7</v>
      </c>
    </row>
    <row r="15" spans="2:8" ht="12.75" customHeight="1">
      <c r="B15" s="14"/>
      <c r="C15" s="14"/>
      <c r="D15" s="14"/>
      <c r="E15" s="14"/>
      <c r="F15" s="14"/>
      <c r="G15" s="14"/>
      <c r="H15" s="16"/>
    </row>
    <row r="16" spans="1:8" ht="12.75" customHeight="1">
      <c r="A16" s="7" t="s">
        <v>43</v>
      </c>
      <c r="B16" s="23">
        <f>SUM(B6*1.1)</f>
        <v>4.4</v>
      </c>
      <c r="C16" s="23">
        <f>SUM(C6*1.48)</f>
        <v>20.72</v>
      </c>
      <c r="D16" s="23">
        <f>C16+B16</f>
        <v>25.119999999999997</v>
      </c>
      <c r="E16" s="23">
        <f>SUM(E6*5.36)</f>
        <v>85.76</v>
      </c>
      <c r="F16" s="23">
        <f>SUM(F6*17.6)</f>
        <v>0</v>
      </c>
      <c r="G16" s="23">
        <f>F16+E16</f>
        <v>85.76</v>
      </c>
      <c r="H16" s="24">
        <f>G16+D16</f>
        <v>110.88</v>
      </c>
    </row>
    <row r="17" spans="1:8" ht="12.75" customHeight="1">
      <c r="A17" s="52" t="s">
        <v>46</v>
      </c>
      <c r="B17" s="23">
        <f>SUM(B7*1.1)</f>
        <v>13.200000000000001</v>
      </c>
      <c r="C17" s="23">
        <f>SUM(C7*1.48)</f>
        <v>5.92</v>
      </c>
      <c r="D17" s="23">
        <f>C17+B17</f>
        <v>19.12</v>
      </c>
      <c r="E17" s="23">
        <f>SUM(E7*5.36)</f>
        <v>64.32000000000001</v>
      </c>
      <c r="F17" s="23">
        <f>SUM(F7*17.6)</f>
        <v>0</v>
      </c>
      <c r="G17" s="23">
        <f>F17+E17</f>
        <v>64.32000000000001</v>
      </c>
      <c r="H17" s="24">
        <f>G17+D17</f>
        <v>83.44000000000001</v>
      </c>
    </row>
    <row r="18" spans="1:8" ht="12.75" customHeight="1">
      <c r="A18" s="52" t="s">
        <v>49</v>
      </c>
      <c r="B18" s="23">
        <f>SUM(B8*1.1)</f>
        <v>13.200000000000001</v>
      </c>
      <c r="C18" s="23">
        <f>SUM(C8*1.48)</f>
        <v>0</v>
      </c>
      <c r="D18" s="23">
        <f>C18+B18</f>
        <v>13.200000000000001</v>
      </c>
      <c r="E18" s="23">
        <f>SUM(E8*5.36)</f>
        <v>64.32000000000001</v>
      </c>
      <c r="F18" s="23">
        <f>SUM(F8*17.6)</f>
        <v>0</v>
      </c>
      <c r="G18" s="23">
        <f>F18+E18</f>
        <v>64.32000000000001</v>
      </c>
      <c r="H18" s="24">
        <f>G18+D18</f>
        <v>77.52000000000001</v>
      </c>
    </row>
    <row r="19" spans="1:8" ht="12.75" customHeight="1">
      <c r="A19" s="52" t="s">
        <v>58</v>
      </c>
      <c r="B19" s="23">
        <f>SUM(B9*1.1)</f>
        <v>22</v>
      </c>
      <c r="C19" s="23">
        <f>SUM(C9*1.48)</f>
        <v>17.759999999999998</v>
      </c>
      <c r="D19" s="23">
        <f>C19+B19</f>
        <v>39.76</v>
      </c>
      <c r="E19" s="23">
        <f>SUM(E9*5.36)</f>
        <v>42.88</v>
      </c>
      <c r="F19" s="23">
        <f>SUM(F9*17.6)</f>
        <v>0</v>
      </c>
      <c r="G19" s="23">
        <f>F19+E19</f>
        <v>42.88</v>
      </c>
      <c r="H19" s="24">
        <f>G19+D19</f>
        <v>82.64</v>
      </c>
    </row>
    <row r="20" spans="1:8" ht="12.75" customHeight="1">
      <c r="A20" s="52" t="s">
        <v>60</v>
      </c>
      <c r="B20" s="23">
        <f>SUM(B10*1.1)</f>
        <v>0</v>
      </c>
      <c r="C20" s="23">
        <f>SUM(C10*1.48)</f>
        <v>38.48</v>
      </c>
      <c r="D20" s="23">
        <f>C20+B20</f>
        <v>38.48</v>
      </c>
      <c r="E20" s="23">
        <f>SUM(E10*5.36)</f>
        <v>21.44</v>
      </c>
      <c r="F20" s="23">
        <f>SUM(F10*17.6)</f>
        <v>0</v>
      </c>
      <c r="G20" s="23">
        <f>F20+E20</f>
        <v>21.44</v>
      </c>
      <c r="H20" s="24">
        <f>G20+D20</f>
        <v>59.92</v>
      </c>
    </row>
    <row r="21" spans="1:8" ht="12.75" customHeight="1">
      <c r="A21" s="28"/>
      <c r="B21" s="11"/>
      <c r="C21" s="11"/>
      <c r="D21" s="11"/>
      <c r="E21" s="11"/>
      <c r="F21" s="11"/>
      <c r="G21" s="11"/>
      <c r="H21" s="13"/>
    </row>
    <row r="22" spans="1:8" ht="12.75" customHeight="1">
      <c r="A22" s="28"/>
      <c r="B22" s="2"/>
      <c r="C22" s="2"/>
      <c r="D22" s="2"/>
      <c r="E22" s="2"/>
      <c r="F22" s="2"/>
      <c r="G22" s="2"/>
      <c r="H22" s="2"/>
    </row>
    <row r="23" ht="12.75" customHeight="1">
      <c r="A23" s="27" t="s">
        <v>50</v>
      </c>
    </row>
    <row r="42" spans="1:9" s="2" customFormat="1" ht="12.75" customHeight="1">
      <c r="A42" s="27"/>
      <c r="B42" s="3"/>
      <c r="C42" s="3"/>
      <c r="D42" s="3"/>
      <c r="E42" s="3"/>
      <c r="F42" s="3"/>
      <c r="G42" s="3"/>
      <c r="H42" s="3"/>
      <c r="I42" s="3"/>
    </row>
    <row r="75" spans="1:9" s="2" customFormat="1" ht="12.75" customHeight="1">
      <c r="A75" s="27"/>
      <c r="B75" s="3"/>
      <c r="C75" s="3"/>
      <c r="D75" s="3"/>
      <c r="E75" s="3"/>
      <c r="F75" s="3"/>
      <c r="G75" s="3"/>
      <c r="H75" s="3"/>
      <c r="I75" s="3"/>
    </row>
    <row r="106" spans="1:9" s="2" customFormat="1" ht="12.75" customHeight="1">
      <c r="A106" s="27"/>
      <c r="B106" s="3"/>
      <c r="C106" s="3"/>
      <c r="D106" s="3"/>
      <c r="E106" s="3"/>
      <c r="F106" s="3"/>
      <c r="G106" s="3"/>
      <c r="H106" s="3"/>
      <c r="I106" s="3"/>
    </row>
    <row r="115" spans="1:9" s="2" customFormat="1" ht="12.75" customHeight="1">
      <c r="A115" s="27"/>
      <c r="B115" s="3"/>
      <c r="C115" s="3"/>
      <c r="D115" s="3"/>
      <c r="E115" s="3"/>
      <c r="F115" s="3"/>
      <c r="G115" s="3"/>
      <c r="H115" s="3"/>
      <c r="I115" s="3"/>
    </row>
    <row r="146" spans="1:9" s="2" customFormat="1" ht="12.75" customHeight="1">
      <c r="A146" s="27"/>
      <c r="B146" s="3"/>
      <c r="C146" s="3"/>
      <c r="D146" s="3"/>
      <c r="E146" s="3"/>
      <c r="F146" s="3"/>
      <c r="G146" s="3"/>
      <c r="H146" s="3"/>
      <c r="I146" s="3"/>
    </row>
    <row r="150" ht="12.75" customHeight="1"/>
    <row r="167" spans="1:9" s="2" customFormat="1" ht="12.75" customHeight="1">
      <c r="A167" s="27"/>
      <c r="B167" s="3"/>
      <c r="C167" s="3"/>
      <c r="D167" s="3"/>
      <c r="E167" s="3"/>
      <c r="F167" s="3"/>
      <c r="G167" s="3"/>
      <c r="H167" s="3"/>
      <c r="I167" s="3"/>
    </row>
  </sheetData>
  <printOptions/>
  <pageMargins left="1" right="0.25" top="1" bottom="0.75" header="0.5" footer="0.25"/>
  <pageSetup fitToHeight="1" fitToWidth="1" horizontalDpi="300" verticalDpi="300" orientation="landscape" scale="97" r:id="rId1"/>
  <headerFooter alignWithMargins="0">
    <oddHeader>&amp;CThe University of Alabama in Huntsville
Unit Academic Reports 
</oddHeader>
    <oddFooter>&amp;L&amp;8Office of Institutional Research
&amp;D (np)
&amp;F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67"/>
  <sheetViews>
    <sheetView workbookViewId="0" topLeftCell="A1">
      <selection activeCell="A2" sqref="A2"/>
    </sheetView>
  </sheetViews>
  <sheetFormatPr defaultColWidth="9.140625" defaultRowHeight="12.75" customHeight="1"/>
  <cols>
    <col min="1" max="1" width="18.7109375" style="27" customWidth="1"/>
    <col min="2" max="15" width="7.28125" style="3" customWidth="1"/>
    <col min="16" max="16" width="6.7109375" style="3" customWidth="1"/>
    <col min="17" max="16384" width="9.140625" style="3" customWidth="1"/>
  </cols>
  <sheetData>
    <row r="1" spans="1:16" ht="12.75" customHeight="1">
      <c r="A1" s="18" t="s">
        <v>29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2.75" customHeight="1">
      <c r="A2" s="18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12.75" customHeight="1">
      <c r="A3" s="28"/>
      <c r="B3" s="34" t="s">
        <v>1</v>
      </c>
      <c r="C3" s="35"/>
      <c r="D3" s="34" t="s">
        <v>2</v>
      </c>
      <c r="E3" s="35"/>
      <c r="F3" s="34" t="s">
        <v>3</v>
      </c>
      <c r="G3" s="35"/>
      <c r="H3" s="34" t="s">
        <v>4</v>
      </c>
      <c r="I3" s="35"/>
      <c r="J3" s="34" t="s">
        <v>5</v>
      </c>
      <c r="K3" s="35"/>
      <c r="L3" s="127" t="s">
        <v>6</v>
      </c>
      <c r="M3" s="128"/>
      <c r="N3" s="34" t="s">
        <v>7</v>
      </c>
      <c r="O3" s="35"/>
      <c r="P3" s="30" t="s">
        <v>8</v>
      </c>
    </row>
    <row r="4" spans="1:16" ht="12.75" customHeight="1">
      <c r="A4" s="54" t="s">
        <v>63</v>
      </c>
      <c r="B4" s="31" t="s">
        <v>9</v>
      </c>
      <c r="C4" s="32" t="s">
        <v>10</v>
      </c>
      <c r="D4" s="31" t="s">
        <v>9</v>
      </c>
      <c r="E4" s="32" t="s">
        <v>10</v>
      </c>
      <c r="F4" s="31" t="s">
        <v>9</v>
      </c>
      <c r="G4" s="32" t="s">
        <v>10</v>
      </c>
      <c r="H4" s="31" t="s">
        <v>9</v>
      </c>
      <c r="I4" s="32" t="s">
        <v>10</v>
      </c>
      <c r="J4" s="31" t="s">
        <v>9</v>
      </c>
      <c r="K4" s="32" t="s">
        <v>10</v>
      </c>
      <c r="L4" s="31" t="s">
        <v>9</v>
      </c>
      <c r="M4" s="32" t="s">
        <v>10</v>
      </c>
      <c r="N4" s="31" t="s">
        <v>9</v>
      </c>
      <c r="O4" s="32" t="s">
        <v>10</v>
      </c>
      <c r="P4" s="33" t="s">
        <v>7</v>
      </c>
    </row>
    <row r="5" spans="1:16" ht="12.75" customHeight="1">
      <c r="A5" s="28"/>
      <c r="B5" s="4"/>
      <c r="C5" s="5"/>
      <c r="D5" s="4"/>
      <c r="E5" s="5"/>
      <c r="F5" s="4"/>
      <c r="G5" s="5"/>
      <c r="H5" s="4"/>
      <c r="I5" s="5"/>
      <c r="J5" s="4"/>
      <c r="K5" s="5"/>
      <c r="L5" s="4"/>
      <c r="M5" s="5"/>
      <c r="N5" s="4"/>
      <c r="O5" s="5"/>
      <c r="P5" s="10"/>
    </row>
    <row r="6" spans="1:16" ht="12.75" customHeight="1">
      <c r="A6" s="17" t="s">
        <v>43</v>
      </c>
      <c r="B6" s="44">
        <v>0</v>
      </c>
      <c r="C6" s="45">
        <v>0</v>
      </c>
      <c r="D6" s="44">
        <v>0</v>
      </c>
      <c r="E6" s="45">
        <v>0</v>
      </c>
      <c r="F6" s="44">
        <v>0</v>
      </c>
      <c r="G6" s="45">
        <v>0</v>
      </c>
      <c r="H6" s="44">
        <v>0</v>
      </c>
      <c r="I6" s="45">
        <v>0</v>
      </c>
      <c r="J6" s="44">
        <v>0</v>
      </c>
      <c r="K6" s="45">
        <v>0</v>
      </c>
      <c r="L6" s="44">
        <v>1</v>
      </c>
      <c r="M6" s="45">
        <v>0</v>
      </c>
      <c r="N6" s="44">
        <f aca="true" t="shared" si="0" ref="N6:O10">L6+J6+H6+F6+D6+B6</f>
        <v>1</v>
      </c>
      <c r="O6" s="45">
        <f t="shared" si="0"/>
        <v>0</v>
      </c>
      <c r="P6" s="46">
        <f>O6+N6</f>
        <v>1</v>
      </c>
    </row>
    <row r="7" spans="1:16" ht="12.75" customHeight="1">
      <c r="A7" s="52" t="s">
        <v>46</v>
      </c>
      <c r="B7" s="44">
        <v>1</v>
      </c>
      <c r="C7" s="45">
        <v>1</v>
      </c>
      <c r="D7" s="44">
        <v>0</v>
      </c>
      <c r="E7" s="45">
        <v>0</v>
      </c>
      <c r="F7" s="44">
        <v>0</v>
      </c>
      <c r="G7" s="45">
        <v>0</v>
      </c>
      <c r="H7" s="44">
        <v>0</v>
      </c>
      <c r="I7" s="45">
        <v>0</v>
      </c>
      <c r="J7" s="44">
        <v>0</v>
      </c>
      <c r="K7" s="45">
        <v>0</v>
      </c>
      <c r="L7" s="44">
        <v>2</v>
      </c>
      <c r="M7" s="45">
        <v>2</v>
      </c>
      <c r="N7" s="44">
        <f t="shared" si="0"/>
        <v>3</v>
      </c>
      <c r="O7" s="45">
        <f t="shared" si="0"/>
        <v>3</v>
      </c>
      <c r="P7" s="46">
        <f>O7+N7</f>
        <v>6</v>
      </c>
    </row>
    <row r="8" spans="1:16" ht="12.75" customHeight="1">
      <c r="A8" s="52" t="s">
        <v>49</v>
      </c>
      <c r="B8" s="44">
        <v>0</v>
      </c>
      <c r="C8" s="45">
        <v>0</v>
      </c>
      <c r="D8" s="44">
        <v>0</v>
      </c>
      <c r="E8" s="45">
        <v>0</v>
      </c>
      <c r="F8" s="44">
        <v>0</v>
      </c>
      <c r="G8" s="45">
        <v>0</v>
      </c>
      <c r="H8" s="44">
        <v>0</v>
      </c>
      <c r="I8" s="45">
        <v>0</v>
      </c>
      <c r="J8" s="44">
        <v>0</v>
      </c>
      <c r="K8" s="45">
        <v>0</v>
      </c>
      <c r="L8" s="44">
        <v>2</v>
      </c>
      <c r="M8" s="45">
        <v>0</v>
      </c>
      <c r="N8" s="44">
        <f t="shared" si="0"/>
        <v>2</v>
      </c>
      <c r="O8" s="45">
        <f t="shared" si="0"/>
        <v>0</v>
      </c>
      <c r="P8" s="46">
        <f>O8+N8</f>
        <v>2</v>
      </c>
    </row>
    <row r="9" spans="1:16" ht="12.75" customHeight="1">
      <c r="A9" s="52" t="s">
        <v>58</v>
      </c>
      <c r="B9" s="44">
        <v>0</v>
      </c>
      <c r="C9" s="45">
        <v>0</v>
      </c>
      <c r="D9" s="44">
        <v>0</v>
      </c>
      <c r="E9" s="45">
        <v>0</v>
      </c>
      <c r="F9" s="44">
        <v>0</v>
      </c>
      <c r="G9" s="45">
        <v>0</v>
      </c>
      <c r="H9" s="44">
        <v>0</v>
      </c>
      <c r="I9" s="45">
        <v>0</v>
      </c>
      <c r="J9" s="44">
        <v>0</v>
      </c>
      <c r="K9" s="45">
        <v>0</v>
      </c>
      <c r="L9" s="44">
        <v>2</v>
      </c>
      <c r="M9" s="45">
        <v>0</v>
      </c>
      <c r="N9" s="44">
        <f t="shared" si="0"/>
        <v>2</v>
      </c>
      <c r="O9" s="45">
        <f t="shared" si="0"/>
        <v>0</v>
      </c>
      <c r="P9" s="46">
        <f>O9+N9</f>
        <v>2</v>
      </c>
    </row>
    <row r="10" spans="1:16" ht="12.75" customHeight="1">
      <c r="A10" s="52" t="s">
        <v>60</v>
      </c>
      <c r="B10" s="44">
        <v>0</v>
      </c>
      <c r="C10" s="45">
        <v>0</v>
      </c>
      <c r="D10" s="44">
        <v>0</v>
      </c>
      <c r="E10" s="45">
        <v>0</v>
      </c>
      <c r="F10" s="44">
        <v>0</v>
      </c>
      <c r="G10" s="45">
        <v>0</v>
      </c>
      <c r="H10" s="44">
        <v>0</v>
      </c>
      <c r="I10" s="45">
        <v>0</v>
      </c>
      <c r="J10" s="44">
        <v>0</v>
      </c>
      <c r="K10" s="45">
        <v>0</v>
      </c>
      <c r="L10" s="44">
        <v>1</v>
      </c>
      <c r="M10" s="45">
        <v>1</v>
      </c>
      <c r="N10" s="44">
        <f t="shared" si="0"/>
        <v>1</v>
      </c>
      <c r="O10" s="45">
        <f t="shared" si="0"/>
        <v>1</v>
      </c>
      <c r="P10" s="46">
        <f>O10+N10</f>
        <v>2</v>
      </c>
    </row>
    <row r="11" spans="2:16" ht="12.75" customHeight="1">
      <c r="B11" s="11"/>
      <c r="C11" s="12"/>
      <c r="D11" s="11"/>
      <c r="E11" s="12"/>
      <c r="F11" s="11"/>
      <c r="G11" s="12"/>
      <c r="H11" s="11"/>
      <c r="I11" s="12"/>
      <c r="J11" s="11"/>
      <c r="K11" s="12"/>
      <c r="L11" s="11"/>
      <c r="M11" s="12"/>
      <c r="N11" s="11"/>
      <c r="O11" s="12"/>
      <c r="P11" s="13"/>
    </row>
    <row r="12" s="2" customFormat="1" ht="12.75" customHeight="1">
      <c r="A12" s="29"/>
    </row>
    <row r="13" spans="1:16" ht="12.75" customHeight="1">
      <c r="A13" s="28"/>
      <c r="B13" s="34" t="s">
        <v>1</v>
      </c>
      <c r="C13" s="35"/>
      <c r="D13" s="34" t="s">
        <v>2</v>
      </c>
      <c r="E13" s="35"/>
      <c r="F13" s="34" t="s">
        <v>3</v>
      </c>
      <c r="G13" s="35"/>
      <c r="H13" s="34" t="s">
        <v>4</v>
      </c>
      <c r="I13" s="35"/>
      <c r="J13" s="34" t="s">
        <v>5</v>
      </c>
      <c r="K13" s="35"/>
      <c r="L13" s="127" t="s">
        <v>6</v>
      </c>
      <c r="M13" s="128"/>
      <c r="N13" s="34" t="s">
        <v>7</v>
      </c>
      <c r="O13" s="35"/>
      <c r="P13" s="30" t="s">
        <v>8</v>
      </c>
    </row>
    <row r="14" spans="1:16" ht="12.75" customHeight="1">
      <c r="A14" s="7" t="s">
        <v>62</v>
      </c>
      <c r="B14" s="31" t="s">
        <v>9</v>
      </c>
      <c r="C14" s="32" t="s">
        <v>10</v>
      </c>
      <c r="D14" s="31" t="s">
        <v>9</v>
      </c>
      <c r="E14" s="32" t="s">
        <v>10</v>
      </c>
      <c r="F14" s="31" t="s">
        <v>9</v>
      </c>
      <c r="G14" s="32" t="s">
        <v>10</v>
      </c>
      <c r="H14" s="31" t="s">
        <v>9</v>
      </c>
      <c r="I14" s="32" t="s">
        <v>10</v>
      </c>
      <c r="J14" s="31" t="s">
        <v>9</v>
      </c>
      <c r="K14" s="32" t="s">
        <v>10</v>
      </c>
      <c r="L14" s="31" t="s">
        <v>9</v>
      </c>
      <c r="M14" s="32" t="s">
        <v>10</v>
      </c>
      <c r="N14" s="31" t="s">
        <v>9</v>
      </c>
      <c r="O14" s="32" t="s">
        <v>10</v>
      </c>
      <c r="P14" s="33" t="s">
        <v>7</v>
      </c>
    </row>
    <row r="15" spans="1:16" ht="12.75" customHeight="1">
      <c r="A15" s="28"/>
      <c r="B15" s="4"/>
      <c r="C15" s="5"/>
      <c r="D15" s="4"/>
      <c r="E15" s="5"/>
      <c r="F15" s="4"/>
      <c r="G15" s="5"/>
      <c r="H15" s="4"/>
      <c r="I15" s="5"/>
      <c r="J15" s="4"/>
      <c r="K15" s="5"/>
      <c r="L15" s="4"/>
      <c r="M15" s="5"/>
      <c r="N15" s="4"/>
      <c r="O15" s="5"/>
      <c r="P15" s="10"/>
    </row>
    <row r="16" spans="1:16" ht="12.75" customHeight="1">
      <c r="A16" s="17" t="s">
        <v>43</v>
      </c>
      <c r="B16" s="44">
        <v>1</v>
      </c>
      <c r="C16" s="45">
        <v>0</v>
      </c>
      <c r="D16" s="44">
        <v>0</v>
      </c>
      <c r="E16" s="45">
        <v>0</v>
      </c>
      <c r="F16" s="44">
        <v>0</v>
      </c>
      <c r="G16" s="45">
        <v>0</v>
      </c>
      <c r="H16" s="44">
        <v>0</v>
      </c>
      <c r="I16" s="45">
        <v>0</v>
      </c>
      <c r="J16" s="44">
        <v>0</v>
      </c>
      <c r="K16" s="45">
        <v>0</v>
      </c>
      <c r="L16" s="44">
        <v>0</v>
      </c>
      <c r="M16" s="45">
        <v>0</v>
      </c>
      <c r="N16" s="44">
        <f aca="true" t="shared" si="1" ref="N16:O20">L16+J16+H16+F16+D16+B16</f>
        <v>1</v>
      </c>
      <c r="O16" s="45">
        <f t="shared" si="1"/>
        <v>0</v>
      </c>
      <c r="P16" s="46">
        <f>O16+N16</f>
        <v>1</v>
      </c>
    </row>
    <row r="17" spans="1:16" ht="12.75" customHeight="1">
      <c r="A17" s="52" t="s">
        <v>46</v>
      </c>
      <c r="B17" s="44">
        <v>0</v>
      </c>
      <c r="C17" s="45">
        <v>0</v>
      </c>
      <c r="D17" s="44">
        <v>0</v>
      </c>
      <c r="E17" s="45">
        <v>0</v>
      </c>
      <c r="F17" s="44">
        <v>0</v>
      </c>
      <c r="G17" s="45">
        <v>0</v>
      </c>
      <c r="H17" s="44">
        <v>0</v>
      </c>
      <c r="I17" s="45">
        <v>0</v>
      </c>
      <c r="J17" s="44">
        <v>0</v>
      </c>
      <c r="K17" s="45">
        <v>0</v>
      </c>
      <c r="L17" s="44">
        <v>0</v>
      </c>
      <c r="M17" s="45">
        <v>1</v>
      </c>
      <c r="N17" s="44">
        <f t="shared" si="1"/>
        <v>0</v>
      </c>
      <c r="O17" s="45">
        <f t="shared" si="1"/>
        <v>1</v>
      </c>
      <c r="P17" s="46">
        <f>O17+N17</f>
        <v>1</v>
      </c>
    </row>
    <row r="18" spans="1:16" ht="12.75" customHeight="1">
      <c r="A18" s="52" t="s">
        <v>49</v>
      </c>
      <c r="B18" s="44">
        <v>0</v>
      </c>
      <c r="C18" s="45">
        <v>0</v>
      </c>
      <c r="D18" s="44">
        <v>0</v>
      </c>
      <c r="E18" s="45">
        <v>0</v>
      </c>
      <c r="F18" s="44">
        <v>0</v>
      </c>
      <c r="G18" s="45">
        <v>0</v>
      </c>
      <c r="H18" s="44">
        <v>0</v>
      </c>
      <c r="I18" s="45">
        <v>0</v>
      </c>
      <c r="J18" s="44">
        <v>0</v>
      </c>
      <c r="K18" s="45">
        <v>0</v>
      </c>
      <c r="L18" s="44">
        <v>0</v>
      </c>
      <c r="M18" s="45">
        <v>0</v>
      </c>
      <c r="N18" s="44">
        <f t="shared" si="1"/>
        <v>0</v>
      </c>
      <c r="O18" s="45">
        <f t="shared" si="1"/>
        <v>0</v>
      </c>
      <c r="P18" s="46">
        <f>O18+N18</f>
        <v>0</v>
      </c>
    </row>
    <row r="19" spans="1:16" ht="12.75" customHeight="1">
      <c r="A19" s="52" t="s">
        <v>58</v>
      </c>
      <c r="B19" s="44">
        <v>0</v>
      </c>
      <c r="C19" s="45">
        <v>0</v>
      </c>
      <c r="D19" s="44">
        <v>0</v>
      </c>
      <c r="E19" s="45">
        <v>0</v>
      </c>
      <c r="F19" s="44">
        <v>0</v>
      </c>
      <c r="G19" s="45">
        <v>0</v>
      </c>
      <c r="H19" s="44">
        <v>0</v>
      </c>
      <c r="I19" s="45">
        <v>0</v>
      </c>
      <c r="J19" s="44">
        <v>0</v>
      </c>
      <c r="K19" s="45">
        <v>0</v>
      </c>
      <c r="L19" s="44">
        <v>1</v>
      </c>
      <c r="M19" s="45">
        <v>0</v>
      </c>
      <c r="N19" s="44">
        <f t="shared" si="1"/>
        <v>1</v>
      </c>
      <c r="O19" s="45">
        <f t="shared" si="1"/>
        <v>0</v>
      </c>
      <c r="P19" s="46">
        <f>O19+N19</f>
        <v>1</v>
      </c>
    </row>
    <row r="20" spans="1:16" ht="12.75" customHeight="1">
      <c r="A20" s="52" t="s">
        <v>60</v>
      </c>
      <c r="B20" s="44">
        <v>0</v>
      </c>
      <c r="C20" s="45">
        <v>0</v>
      </c>
      <c r="D20" s="44">
        <v>0</v>
      </c>
      <c r="E20" s="45">
        <v>0</v>
      </c>
      <c r="F20" s="44">
        <v>0</v>
      </c>
      <c r="G20" s="45">
        <v>0</v>
      </c>
      <c r="H20" s="44">
        <v>0</v>
      </c>
      <c r="I20" s="45">
        <v>0</v>
      </c>
      <c r="J20" s="44">
        <v>0</v>
      </c>
      <c r="K20" s="45">
        <v>0</v>
      </c>
      <c r="L20" s="44">
        <v>0</v>
      </c>
      <c r="M20" s="45">
        <v>0</v>
      </c>
      <c r="N20" s="44">
        <f t="shared" si="1"/>
        <v>0</v>
      </c>
      <c r="O20" s="45">
        <f t="shared" si="1"/>
        <v>0</v>
      </c>
      <c r="P20" s="46">
        <f>O20+N20</f>
        <v>0</v>
      </c>
    </row>
    <row r="21" spans="2:16" ht="12.75" customHeight="1">
      <c r="B21" s="11"/>
      <c r="C21" s="12"/>
      <c r="D21" s="11"/>
      <c r="E21" s="12"/>
      <c r="F21" s="11"/>
      <c r="G21" s="12"/>
      <c r="H21" s="11"/>
      <c r="I21" s="12"/>
      <c r="J21" s="11"/>
      <c r="K21" s="12"/>
      <c r="L21" s="11"/>
      <c r="M21" s="12"/>
      <c r="N21" s="11"/>
      <c r="O21" s="12"/>
      <c r="P21" s="13"/>
    </row>
    <row r="22" spans="1:15" ht="12.75" customHeight="1">
      <c r="A22" s="28"/>
      <c r="B22"/>
      <c r="C22"/>
      <c r="D22"/>
      <c r="E22"/>
      <c r="F22"/>
      <c r="G22"/>
      <c r="H22"/>
      <c r="I22"/>
      <c r="J22"/>
      <c r="K22"/>
      <c r="L22"/>
      <c r="M22"/>
      <c r="N22"/>
      <c r="O22"/>
    </row>
    <row r="23" ht="12.75" customHeight="1">
      <c r="A23" s="7" t="s">
        <v>11</v>
      </c>
    </row>
    <row r="24" spans="1:16" ht="12.75" customHeight="1">
      <c r="A24" s="7" t="s">
        <v>12</v>
      </c>
      <c r="B24" s="34" t="s">
        <v>1</v>
      </c>
      <c r="C24" s="35"/>
      <c r="D24" s="34" t="s">
        <v>2</v>
      </c>
      <c r="E24" s="35"/>
      <c r="F24" s="34" t="s">
        <v>3</v>
      </c>
      <c r="G24" s="35"/>
      <c r="H24" s="34" t="s">
        <v>4</v>
      </c>
      <c r="I24" s="35"/>
      <c r="J24" s="34" t="s">
        <v>5</v>
      </c>
      <c r="K24" s="35"/>
      <c r="L24" s="127" t="s">
        <v>6</v>
      </c>
      <c r="M24" s="128"/>
      <c r="N24" s="34" t="s">
        <v>7</v>
      </c>
      <c r="O24" s="35"/>
      <c r="P24" s="30" t="s">
        <v>8</v>
      </c>
    </row>
    <row r="25" spans="1:16" ht="12.75" customHeight="1">
      <c r="A25" s="7" t="s">
        <v>13</v>
      </c>
      <c r="B25" s="31" t="s">
        <v>9</v>
      </c>
      <c r="C25" s="32" t="s">
        <v>10</v>
      </c>
      <c r="D25" s="31" t="s">
        <v>9</v>
      </c>
      <c r="E25" s="32" t="s">
        <v>10</v>
      </c>
      <c r="F25" s="31" t="s">
        <v>9</v>
      </c>
      <c r="G25" s="32" t="s">
        <v>10</v>
      </c>
      <c r="H25" s="31" t="s">
        <v>9</v>
      </c>
      <c r="I25" s="32" t="s">
        <v>10</v>
      </c>
      <c r="J25" s="31" t="s">
        <v>9</v>
      </c>
      <c r="K25" s="32" t="s">
        <v>10</v>
      </c>
      <c r="L25" s="31" t="s">
        <v>9</v>
      </c>
      <c r="M25" s="32" t="s">
        <v>10</v>
      </c>
      <c r="N25" s="31" t="s">
        <v>9</v>
      </c>
      <c r="O25" s="32" t="s">
        <v>10</v>
      </c>
      <c r="P25" s="33" t="s">
        <v>7</v>
      </c>
    </row>
    <row r="26" spans="1:16" ht="12.75" customHeight="1">
      <c r="A26" s="7"/>
      <c r="B26" s="14"/>
      <c r="C26" s="15"/>
      <c r="D26" s="14"/>
      <c r="E26" s="15"/>
      <c r="F26" s="14"/>
      <c r="G26" s="15"/>
      <c r="H26" s="14"/>
      <c r="I26" s="15"/>
      <c r="J26" s="14"/>
      <c r="K26" s="15"/>
      <c r="L26" s="14"/>
      <c r="M26" s="15"/>
      <c r="N26" s="14"/>
      <c r="O26" s="15"/>
      <c r="P26" s="16"/>
    </row>
    <row r="27" spans="1:16" s="2" customFormat="1" ht="12.75" customHeight="1">
      <c r="A27" s="17" t="s">
        <v>43</v>
      </c>
      <c r="B27" s="44">
        <v>4</v>
      </c>
      <c r="C27" s="45">
        <v>0</v>
      </c>
      <c r="D27" s="44">
        <v>0</v>
      </c>
      <c r="E27" s="45">
        <v>0</v>
      </c>
      <c r="F27" s="44">
        <v>0</v>
      </c>
      <c r="G27" s="45">
        <v>0</v>
      </c>
      <c r="H27" s="44">
        <v>0</v>
      </c>
      <c r="I27" s="45">
        <v>0</v>
      </c>
      <c r="J27" s="44">
        <v>0</v>
      </c>
      <c r="K27" s="45">
        <v>0</v>
      </c>
      <c r="L27" s="44">
        <v>7</v>
      </c>
      <c r="M27" s="45">
        <v>3</v>
      </c>
      <c r="N27" s="44">
        <f aca="true" t="shared" si="2" ref="N27:O31">L27+J27+H27+F27+D27+B27</f>
        <v>11</v>
      </c>
      <c r="O27" s="45">
        <f t="shared" si="2"/>
        <v>3</v>
      </c>
      <c r="P27" s="46">
        <f>O27+N27</f>
        <v>14</v>
      </c>
    </row>
    <row r="28" spans="1:16" s="2" customFormat="1" ht="12.75" customHeight="1">
      <c r="A28" s="52" t="s">
        <v>46</v>
      </c>
      <c r="B28" s="44">
        <v>3</v>
      </c>
      <c r="C28" s="45">
        <v>0</v>
      </c>
      <c r="D28" s="44">
        <v>0</v>
      </c>
      <c r="E28" s="45">
        <v>0</v>
      </c>
      <c r="F28" s="44">
        <v>0</v>
      </c>
      <c r="G28" s="45">
        <v>0</v>
      </c>
      <c r="H28" s="44">
        <v>0</v>
      </c>
      <c r="I28" s="45">
        <v>0</v>
      </c>
      <c r="J28" s="44">
        <v>0</v>
      </c>
      <c r="K28" s="45">
        <v>0</v>
      </c>
      <c r="L28" s="44">
        <v>7</v>
      </c>
      <c r="M28" s="45">
        <v>2</v>
      </c>
      <c r="N28" s="44">
        <f t="shared" si="2"/>
        <v>10</v>
      </c>
      <c r="O28" s="45">
        <f t="shared" si="2"/>
        <v>2</v>
      </c>
      <c r="P28" s="46">
        <f>O28+N28</f>
        <v>12</v>
      </c>
    </row>
    <row r="29" spans="1:16" s="2" customFormat="1" ht="12.75" customHeight="1">
      <c r="A29" s="52" t="s">
        <v>49</v>
      </c>
      <c r="B29" s="44">
        <v>3</v>
      </c>
      <c r="C29" s="45">
        <v>0</v>
      </c>
      <c r="D29" s="44">
        <v>0</v>
      </c>
      <c r="E29" s="45">
        <v>0</v>
      </c>
      <c r="F29" s="44">
        <v>0</v>
      </c>
      <c r="G29" s="45">
        <v>0</v>
      </c>
      <c r="H29" s="44">
        <v>0</v>
      </c>
      <c r="I29" s="45">
        <v>0</v>
      </c>
      <c r="J29" s="44">
        <v>0</v>
      </c>
      <c r="K29" s="45">
        <v>0</v>
      </c>
      <c r="L29" s="44">
        <v>8</v>
      </c>
      <c r="M29" s="45">
        <v>1</v>
      </c>
      <c r="N29" s="44">
        <f t="shared" si="2"/>
        <v>11</v>
      </c>
      <c r="O29" s="45">
        <f t="shared" si="2"/>
        <v>1</v>
      </c>
      <c r="P29" s="46">
        <f>O29+N29</f>
        <v>12</v>
      </c>
    </row>
    <row r="30" spans="1:16" s="2" customFormat="1" ht="12.75" customHeight="1">
      <c r="A30" s="52" t="s">
        <v>58</v>
      </c>
      <c r="B30" s="44">
        <v>1</v>
      </c>
      <c r="C30" s="45">
        <v>0</v>
      </c>
      <c r="D30" s="44">
        <v>0</v>
      </c>
      <c r="E30" s="45">
        <v>0</v>
      </c>
      <c r="F30" s="44">
        <v>0</v>
      </c>
      <c r="G30" s="45">
        <v>0</v>
      </c>
      <c r="H30" s="44">
        <v>0</v>
      </c>
      <c r="I30" s="45">
        <v>0</v>
      </c>
      <c r="J30" s="44">
        <v>0</v>
      </c>
      <c r="K30" s="45">
        <v>0</v>
      </c>
      <c r="L30" s="44">
        <v>7</v>
      </c>
      <c r="M30" s="45">
        <v>2</v>
      </c>
      <c r="N30" s="44">
        <f t="shared" si="2"/>
        <v>8</v>
      </c>
      <c r="O30" s="45">
        <f t="shared" si="2"/>
        <v>2</v>
      </c>
      <c r="P30" s="46">
        <f>O30+N30</f>
        <v>10</v>
      </c>
    </row>
    <row r="31" spans="1:16" s="2" customFormat="1" ht="12.75" customHeight="1">
      <c r="A31" s="52" t="s">
        <v>60</v>
      </c>
      <c r="B31" s="44">
        <v>1</v>
      </c>
      <c r="C31" s="45">
        <v>0</v>
      </c>
      <c r="D31" s="44">
        <v>0</v>
      </c>
      <c r="E31" s="45">
        <v>1</v>
      </c>
      <c r="F31" s="44">
        <v>0</v>
      </c>
      <c r="G31" s="45">
        <v>0</v>
      </c>
      <c r="H31" s="44">
        <v>0</v>
      </c>
      <c r="I31" s="45">
        <v>0</v>
      </c>
      <c r="J31" s="44">
        <v>0</v>
      </c>
      <c r="K31" s="45">
        <v>0</v>
      </c>
      <c r="L31" s="44">
        <v>3</v>
      </c>
      <c r="M31" s="45">
        <v>3</v>
      </c>
      <c r="N31" s="44">
        <f t="shared" si="2"/>
        <v>4</v>
      </c>
      <c r="O31" s="45">
        <f t="shared" si="2"/>
        <v>4</v>
      </c>
      <c r="P31" s="46">
        <f>O31+N31</f>
        <v>8</v>
      </c>
    </row>
    <row r="32" spans="2:16" ht="12.75" customHeight="1">
      <c r="B32" s="11"/>
      <c r="C32" s="12"/>
      <c r="D32" s="11"/>
      <c r="E32" s="12"/>
      <c r="F32" s="11"/>
      <c r="G32" s="12"/>
      <c r="H32" s="11"/>
      <c r="I32" s="12"/>
      <c r="J32" s="11"/>
      <c r="K32" s="12"/>
      <c r="L32" s="11"/>
      <c r="M32" s="12"/>
      <c r="N32" s="11"/>
      <c r="O32" s="12"/>
      <c r="P32" s="13"/>
    </row>
    <row r="34" ht="12.75" customHeight="1">
      <c r="A34" s="38"/>
    </row>
    <row r="51" spans="1:16" s="2" customFormat="1" ht="12.75" customHeight="1">
      <c r="A51" s="27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</row>
    <row r="92" spans="1:16" s="2" customFormat="1" ht="12.75" customHeight="1">
      <c r="A92" s="27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</row>
    <row r="102" spans="1:16" s="2" customFormat="1" ht="12.75" customHeight="1">
      <c r="A102" s="27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</row>
    <row r="113" spans="1:16" s="2" customFormat="1" ht="12.75" customHeight="1">
      <c r="A113" s="27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</row>
    <row r="126" spans="1:16" s="2" customFormat="1" ht="12.75" customHeight="1">
      <c r="A126" s="27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</row>
    <row r="167" spans="1:16" s="2" customFormat="1" ht="12.75" customHeight="1">
      <c r="A167" s="27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</row>
  </sheetData>
  <mergeCells count="3">
    <mergeCell ref="L24:M24"/>
    <mergeCell ref="L13:M13"/>
    <mergeCell ref="L3:M3"/>
  </mergeCells>
  <printOptions/>
  <pageMargins left="1" right="0.25" top="1" bottom="0.75" header="0.5" footer="0.25"/>
  <pageSetup fitToHeight="1" fitToWidth="1" horizontalDpi="300" verticalDpi="300" orientation="landscape" scale="97" r:id="rId1"/>
  <headerFooter alignWithMargins="0">
    <oddHeader>&amp;CThe University of Alabama in Huntsville
Unit Academic Reports 
</oddHeader>
    <oddFooter>&amp;L&amp;8Office of Institutional Research
&amp;D (np)
&amp;F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3"/>
  <sheetViews>
    <sheetView workbookViewId="0" topLeftCell="A1">
      <selection activeCell="A2" sqref="A2"/>
    </sheetView>
  </sheetViews>
  <sheetFormatPr defaultColWidth="9.140625" defaultRowHeight="12.75" customHeight="1"/>
  <cols>
    <col min="1" max="1" width="25.7109375" style="27" customWidth="1"/>
    <col min="2" max="8" width="14.7109375" style="3" customWidth="1"/>
    <col min="9" max="16384" width="9.140625" style="3" customWidth="1"/>
  </cols>
  <sheetData>
    <row r="1" spans="1:8" ht="12.75" customHeight="1">
      <c r="A1" s="18" t="s">
        <v>29</v>
      </c>
      <c r="B1" s="2"/>
      <c r="C1" s="2"/>
      <c r="D1" s="2"/>
      <c r="E1" s="2"/>
      <c r="F1"/>
      <c r="G1"/>
      <c r="H1"/>
    </row>
    <row r="2" spans="1:8" ht="12.75" customHeight="1">
      <c r="A2" s="18"/>
      <c r="B2" s="2"/>
      <c r="C2" s="2"/>
      <c r="D2" s="2"/>
      <c r="E2" s="2"/>
      <c r="F2"/>
      <c r="G2"/>
      <c r="H2"/>
    </row>
    <row r="3" spans="1:8" ht="12.75" customHeight="1">
      <c r="A3" s="7" t="s">
        <v>11</v>
      </c>
      <c r="F3"/>
      <c r="G3"/>
      <c r="H3"/>
    </row>
    <row r="4" spans="1:7" s="27" customFormat="1" ht="12.75" customHeight="1">
      <c r="A4" s="7" t="s">
        <v>12</v>
      </c>
      <c r="B4" s="37" t="s">
        <v>16</v>
      </c>
      <c r="C4" s="37" t="s">
        <v>14</v>
      </c>
      <c r="D4" s="37" t="s">
        <v>15</v>
      </c>
      <c r="E4" s="28"/>
      <c r="F4" s="28"/>
      <c r="G4" s="28"/>
    </row>
    <row r="5" spans="2:7" ht="12.75" customHeight="1">
      <c r="B5" s="10"/>
      <c r="C5" s="10"/>
      <c r="D5" s="10"/>
      <c r="E5"/>
      <c r="F5"/>
      <c r="G5"/>
    </row>
    <row r="6" spans="1:7" s="2" customFormat="1" ht="12.75" customHeight="1">
      <c r="A6" s="7" t="s">
        <v>43</v>
      </c>
      <c r="B6" s="16">
        <v>7</v>
      </c>
      <c r="C6" s="16">
        <f>MTS!P27</f>
        <v>14</v>
      </c>
      <c r="D6" s="16">
        <v>15</v>
      </c>
      <c r="E6" s="25"/>
      <c r="F6" s="25"/>
      <c r="G6" s="25"/>
    </row>
    <row r="7" spans="1:7" s="2" customFormat="1" ht="12.75" customHeight="1">
      <c r="A7" s="52" t="s">
        <v>46</v>
      </c>
      <c r="B7" s="16">
        <v>11</v>
      </c>
      <c r="C7" s="16">
        <f>MTS!P28</f>
        <v>12</v>
      </c>
      <c r="D7" s="16">
        <v>13</v>
      </c>
      <c r="E7" s="25"/>
      <c r="F7" s="25"/>
      <c r="G7" s="25"/>
    </row>
    <row r="8" spans="1:7" s="2" customFormat="1" ht="12.75" customHeight="1">
      <c r="A8" s="52" t="s">
        <v>49</v>
      </c>
      <c r="B8" s="16">
        <v>9</v>
      </c>
      <c r="C8" s="16">
        <f>MTS!P29</f>
        <v>12</v>
      </c>
      <c r="D8" s="16">
        <v>13</v>
      </c>
      <c r="E8" s="25"/>
      <c r="F8" s="25"/>
      <c r="G8" s="25"/>
    </row>
    <row r="9" spans="1:7" s="2" customFormat="1" ht="12.75" customHeight="1">
      <c r="A9" s="52" t="s">
        <v>58</v>
      </c>
      <c r="B9" s="16">
        <v>7</v>
      </c>
      <c r="C9" s="16">
        <f>MTS!P30</f>
        <v>10</v>
      </c>
      <c r="D9" s="16">
        <v>9</v>
      </c>
      <c r="E9" s="25"/>
      <c r="F9" s="25"/>
      <c r="G9" s="25"/>
    </row>
    <row r="10" spans="1:7" s="2" customFormat="1" ht="12.75" customHeight="1">
      <c r="A10" s="52" t="s">
        <v>60</v>
      </c>
      <c r="B10" s="16">
        <v>7</v>
      </c>
      <c r="C10" s="16">
        <f>MTS!P31</f>
        <v>8</v>
      </c>
      <c r="D10" s="16">
        <v>7</v>
      </c>
      <c r="E10" s="25"/>
      <c r="F10" s="25"/>
      <c r="G10" s="25"/>
    </row>
    <row r="11" spans="1:4" ht="12.75" customHeight="1">
      <c r="A11" s="28"/>
      <c r="B11" s="13"/>
      <c r="C11" s="13"/>
      <c r="D11" s="13"/>
    </row>
    <row r="12" spans="6:8" ht="12.75" customHeight="1">
      <c r="F12"/>
      <c r="G12"/>
      <c r="H12"/>
    </row>
    <row r="13" spans="1:8" s="38" customFormat="1" ht="12.75" customHeight="1">
      <c r="A13" s="26" t="s">
        <v>48</v>
      </c>
      <c r="B13" s="40" t="s">
        <v>17</v>
      </c>
      <c r="C13" s="40" t="s">
        <v>17</v>
      </c>
      <c r="D13" s="40" t="s">
        <v>7</v>
      </c>
      <c r="E13" s="40" t="s">
        <v>11</v>
      </c>
      <c r="F13" s="40" t="s">
        <v>11</v>
      </c>
      <c r="G13" s="41" t="s">
        <v>7</v>
      </c>
      <c r="H13" s="41" t="s">
        <v>8</v>
      </c>
    </row>
    <row r="14" spans="1:8" s="38" customFormat="1" ht="12.75" customHeight="1">
      <c r="A14" s="26"/>
      <c r="B14" s="42" t="s">
        <v>18</v>
      </c>
      <c r="C14" s="42" t="s">
        <v>19</v>
      </c>
      <c r="D14" s="42" t="s">
        <v>17</v>
      </c>
      <c r="E14" s="42" t="s">
        <v>20</v>
      </c>
      <c r="F14" s="42" t="s">
        <v>21</v>
      </c>
      <c r="G14" s="43" t="s">
        <v>11</v>
      </c>
      <c r="H14" s="43" t="s">
        <v>7</v>
      </c>
    </row>
    <row r="15" spans="2:8" ht="12.75" customHeight="1">
      <c r="B15" s="4"/>
      <c r="C15" s="4"/>
      <c r="D15" s="4"/>
      <c r="E15" s="4"/>
      <c r="F15" s="4"/>
      <c r="G15" s="4"/>
      <c r="H15" s="10"/>
    </row>
    <row r="16" spans="1:8" ht="12.75" customHeight="1">
      <c r="A16" s="7" t="s">
        <v>43</v>
      </c>
      <c r="B16" s="50">
        <v>0</v>
      </c>
      <c r="C16" s="50">
        <v>0</v>
      </c>
      <c r="D16" s="50">
        <f>C16+B16</f>
        <v>0</v>
      </c>
      <c r="E16" s="50">
        <v>135</v>
      </c>
      <c r="F16" s="50">
        <v>98</v>
      </c>
      <c r="G16" s="50">
        <f>F16+E16</f>
        <v>233</v>
      </c>
      <c r="H16" s="51">
        <f>G16+D16</f>
        <v>233</v>
      </c>
    </row>
    <row r="17" spans="1:8" ht="12.75" customHeight="1">
      <c r="A17" s="52" t="s">
        <v>46</v>
      </c>
      <c r="B17" s="50">
        <v>0</v>
      </c>
      <c r="C17" s="50">
        <v>0</v>
      </c>
      <c r="D17" s="50">
        <f>C17+B17</f>
        <v>0</v>
      </c>
      <c r="E17" s="50">
        <f>20+42+45</f>
        <v>107</v>
      </c>
      <c r="F17" s="50">
        <f>27+47+40</f>
        <v>114</v>
      </c>
      <c r="G17" s="50">
        <f>F17+E17</f>
        <v>221</v>
      </c>
      <c r="H17" s="51">
        <f>G17+D17</f>
        <v>221</v>
      </c>
    </row>
    <row r="18" spans="1:8" ht="12.75" customHeight="1">
      <c r="A18" s="52" t="s">
        <v>49</v>
      </c>
      <c r="B18" s="50">
        <v>0</v>
      </c>
      <c r="C18" s="50">
        <v>0</v>
      </c>
      <c r="D18" s="50">
        <f>C18+B18</f>
        <v>0</v>
      </c>
      <c r="E18" s="50">
        <f>18+56+31</f>
        <v>105</v>
      </c>
      <c r="F18" s="50">
        <f>27+26+43</f>
        <v>96</v>
      </c>
      <c r="G18" s="50">
        <f>F18+E18</f>
        <v>201</v>
      </c>
      <c r="H18" s="51">
        <f>G18+D18</f>
        <v>201</v>
      </c>
    </row>
    <row r="19" spans="1:8" ht="12.75" customHeight="1">
      <c r="A19" s="52" t="s">
        <v>58</v>
      </c>
      <c r="B19" s="50">
        <v>0</v>
      </c>
      <c r="C19" s="50">
        <v>0</v>
      </c>
      <c r="D19" s="50">
        <f>C19+B19</f>
        <v>0</v>
      </c>
      <c r="E19" s="50">
        <v>54</v>
      </c>
      <c r="F19" s="50">
        <v>78</v>
      </c>
      <c r="G19" s="50">
        <f>F19+E19</f>
        <v>132</v>
      </c>
      <c r="H19" s="51">
        <f>G19+D19</f>
        <v>132</v>
      </c>
    </row>
    <row r="20" spans="1:8" ht="12.75" customHeight="1">
      <c r="A20" s="52" t="s">
        <v>60</v>
      </c>
      <c r="B20" s="50">
        <v>0</v>
      </c>
      <c r="C20" s="50">
        <v>0</v>
      </c>
      <c r="D20" s="50">
        <f>C20+B20</f>
        <v>0</v>
      </c>
      <c r="E20" s="50">
        <v>42</v>
      </c>
      <c r="F20" s="50">
        <v>73</v>
      </c>
      <c r="G20" s="50">
        <f>F20+E20</f>
        <v>115</v>
      </c>
      <c r="H20" s="51">
        <f>G20+D20</f>
        <v>115</v>
      </c>
    </row>
    <row r="21" spans="1:8" ht="12.75" customHeight="1">
      <c r="A21" s="28"/>
      <c r="B21" s="11"/>
      <c r="C21" s="11"/>
      <c r="D21" s="11"/>
      <c r="E21" s="11"/>
      <c r="F21" s="11"/>
      <c r="G21" s="11"/>
      <c r="H21" s="13"/>
    </row>
    <row r="23" spans="1:8" s="38" customFormat="1" ht="12.75" customHeight="1">
      <c r="A23" s="26" t="s">
        <v>47</v>
      </c>
      <c r="B23" s="40" t="s">
        <v>17</v>
      </c>
      <c r="C23" s="40" t="s">
        <v>17</v>
      </c>
      <c r="D23" s="40" t="s">
        <v>7</v>
      </c>
      <c r="E23" s="40" t="s">
        <v>11</v>
      </c>
      <c r="F23" s="40" t="s">
        <v>22</v>
      </c>
      <c r="G23" s="40" t="s">
        <v>23</v>
      </c>
      <c r="H23" s="41" t="s">
        <v>8</v>
      </c>
    </row>
    <row r="24" spans="2:8" s="38" customFormat="1" ht="12.75" customHeight="1">
      <c r="B24" s="42" t="s">
        <v>18</v>
      </c>
      <c r="C24" s="42" t="s">
        <v>19</v>
      </c>
      <c r="D24" s="42" t="s">
        <v>17</v>
      </c>
      <c r="E24" s="42" t="s">
        <v>20</v>
      </c>
      <c r="F24" s="42" t="s">
        <v>21</v>
      </c>
      <c r="G24" s="42" t="s">
        <v>11</v>
      </c>
      <c r="H24" s="43" t="s">
        <v>7</v>
      </c>
    </row>
    <row r="25" spans="2:8" ht="12.75" customHeight="1">
      <c r="B25" s="14"/>
      <c r="C25" s="14"/>
      <c r="D25" s="14"/>
      <c r="E25" s="14"/>
      <c r="F25" s="14"/>
      <c r="G25" s="14"/>
      <c r="H25" s="16"/>
    </row>
    <row r="26" spans="1:8" ht="12.75" customHeight="1">
      <c r="A26" s="7" t="s">
        <v>43</v>
      </c>
      <c r="B26" s="23">
        <f>SUM(B16*1.1)</f>
        <v>0</v>
      </c>
      <c r="C26" s="23">
        <f>SUM(C16*1.48)</f>
        <v>0</v>
      </c>
      <c r="D26" s="23">
        <f>C26+B26</f>
        <v>0</v>
      </c>
      <c r="E26" s="23">
        <f>SUM(E16*5.36)</f>
        <v>723.6</v>
      </c>
      <c r="F26" s="23">
        <f>SUM(F16*17.6)</f>
        <v>1724.8000000000002</v>
      </c>
      <c r="G26" s="23">
        <f>F26+E26</f>
        <v>2448.4</v>
      </c>
      <c r="H26" s="24">
        <f>G26+D26</f>
        <v>2448.4</v>
      </c>
    </row>
    <row r="27" spans="1:8" ht="12.75" customHeight="1">
      <c r="A27" s="52" t="s">
        <v>46</v>
      </c>
      <c r="B27" s="23">
        <f>SUM(B17*1.1)</f>
        <v>0</v>
      </c>
      <c r="C27" s="23">
        <f>SUM(C17*1.48)</f>
        <v>0</v>
      </c>
      <c r="D27" s="23">
        <f>C27+B27</f>
        <v>0</v>
      </c>
      <c r="E27" s="23">
        <f>SUM(E17*5.36)</f>
        <v>573.52</v>
      </c>
      <c r="F27" s="23">
        <f>SUM(F17*17.6)</f>
        <v>2006.4</v>
      </c>
      <c r="G27" s="23">
        <f>F27+E27</f>
        <v>2579.92</v>
      </c>
      <c r="H27" s="24">
        <f>G27+D27</f>
        <v>2579.92</v>
      </c>
    </row>
    <row r="28" spans="1:8" ht="12.75" customHeight="1">
      <c r="A28" s="52" t="s">
        <v>49</v>
      </c>
      <c r="B28" s="23">
        <f>SUM(B18*1.1)</f>
        <v>0</v>
      </c>
      <c r="C28" s="23">
        <f>SUM(C18*1.48)</f>
        <v>0</v>
      </c>
      <c r="D28" s="23">
        <f>C28+B28</f>
        <v>0</v>
      </c>
      <c r="E28" s="23">
        <f>SUM(E18*5.36)</f>
        <v>562.8000000000001</v>
      </c>
      <c r="F28" s="23">
        <f>SUM(F18*17.6)</f>
        <v>1689.6000000000001</v>
      </c>
      <c r="G28" s="23">
        <f>F28+E28</f>
        <v>2252.4</v>
      </c>
      <c r="H28" s="24">
        <f>G28+D28</f>
        <v>2252.4</v>
      </c>
    </row>
    <row r="29" spans="1:8" ht="12.75" customHeight="1">
      <c r="A29" s="52" t="s">
        <v>58</v>
      </c>
      <c r="B29" s="23">
        <f>SUM(B19*1.1)</f>
        <v>0</v>
      </c>
      <c r="C29" s="23">
        <f>SUM(C19*1.48)</f>
        <v>0</v>
      </c>
      <c r="D29" s="23">
        <f>C29+B29</f>
        <v>0</v>
      </c>
      <c r="E29" s="23">
        <f>SUM(E19*5.36)</f>
        <v>289.44</v>
      </c>
      <c r="F29" s="23">
        <f>SUM(F19*17.6)</f>
        <v>1372.8000000000002</v>
      </c>
      <c r="G29" s="23">
        <f>F29+E29</f>
        <v>1662.2400000000002</v>
      </c>
      <c r="H29" s="24">
        <f>G29+D29</f>
        <v>1662.2400000000002</v>
      </c>
    </row>
    <row r="30" spans="1:8" ht="12.75" customHeight="1">
      <c r="A30" s="52" t="s">
        <v>60</v>
      </c>
      <c r="B30" s="23">
        <f>SUM(B20*1.1)</f>
        <v>0</v>
      </c>
      <c r="C30" s="23">
        <f>SUM(C20*1.48)</f>
        <v>0</v>
      </c>
      <c r="D30" s="23">
        <f>C30+B30</f>
        <v>0</v>
      </c>
      <c r="E30" s="23">
        <f>SUM(E20*3.23)</f>
        <v>135.66</v>
      </c>
      <c r="F30" s="23">
        <f>SUM(F20*10.33)</f>
        <v>754.09</v>
      </c>
      <c r="G30" s="23">
        <f>F30+E30</f>
        <v>889.75</v>
      </c>
      <c r="H30" s="24">
        <f>G30+D30</f>
        <v>889.75</v>
      </c>
    </row>
    <row r="31" spans="1:8" ht="12.75" customHeight="1">
      <c r="A31" s="28"/>
      <c r="B31" s="11"/>
      <c r="C31" s="11"/>
      <c r="D31" s="11"/>
      <c r="E31" s="11"/>
      <c r="F31" s="11"/>
      <c r="G31" s="11"/>
      <c r="H31" s="13"/>
    </row>
    <row r="32" spans="6:8" ht="12.75" customHeight="1">
      <c r="F32"/>
      <c r="G32"/>
      <c r="H32"/>
    </row>
    <row r="33" ht="12.75" customHeight="1">
      <c r="A33" s="27" t="s">
        <v>50</v>
      </c>
    </row>
    <row r="41" spans="1:9" s="2" customFormat="1" ht="12.75" customHeight="1">
      <c r="A41" s="27"/>
      <c r="B41" s="3"/>
      <c r="C41" s="3"/>
      <c r="D41" s="3"/>
      <c r="E41" s="3"/>
      <c r="F41" s="3"/>
      <c r="G41" s="3"/>
      <c r="H41" s="3"/>
      <c r="I41" s="3"/>
    </row>
    <row r="72" spans="1:9" s="2" customFormat="1" ht="12.75" customHeight="1">
      <c r="A72" s="27"/>
      <c r="B72" s="3"/>
      <c r="C72" s="3"/>
      <c r="D72" s="3"/>
      <c r="E72" s="3"/>
      <c r="F72" s="3"/>
      <c r="G72" s="3"/>
      <c r="H72" s="3"/>
      <c r="I72" s="3"/>
    </row>
    <row r="81" spans="1:9" s="2" customFormat="1" ht="12.75" customHeight="1">
      <c r="A81" s="27"/>
      <c r="B81" s="3"/>
      <c r="C81" s="3"/>
      <c r="D81" s="3"/>
      <c r="E81" s="3"/>
      <c r="F81" s="3"/>
      <c r="G81" s="3"/>
      <c r="H81" s="3"/>
      <c r="I81" s="3"/>
    </row>
    <row r="112" spans="1:9" s="2" customFormat="1" ht="12.75" customHeight="1">
      <c r="A112" s="27"/>
      <c r="B112" s="3"/>
      <c r="C112" s="3"/>
      <c r="D112" s="3"/>
      <c r="E112" s="3"/>
      <c r="F112" s="3"/>
      <c r="G112" s="3"/>
      <c r="H112" s="3"/>
      <c r="I112" s="3"/>
    </row>
    <row r="116" ht="12.75" customHeight="1"/>
    <row r="133" spans="1:9" s="2" customFormat="1" ht="12.75" customHeight="1">
      <c r="A133" s="27"/>
      <c r="B133" s="3"/>
      <c r="C133" s="3"/>
      <c r="D133" s="3"/>
      <c r="E133" s="3"/>
      <c r="F133" s="3"/>
      <c r="G133" s="3"/>
      <c r="H133" s="3"/>
      <c r="I133" s="3"/>
    </row>
  </sheetData>
  <printOptions/>
  <pageMargins left="1" right="0.25" top="1" bottom="0.75" header="0.5" footer="0.25"/>
  <pageSetup fitToHeight="1" fitToWidth="1" horizontalDpi="300" verticalDpi="300" orientation="landscape" scale="97" r:id="rId3"/>
  <headerFooter alignWithMargins="0">
    <oddHeader>&amp;CThe University of Alabama in Huntsville
Unit Academic Reports 
</oddHeader>
    <oddFooter>&amp;L&amp;8Office of Institutional Research
&amp;D (np)
&amp;F</oddFooter>
  </headerFooter>
  <legacyDrawing r:id="rId2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36"/>
  <sheetViews>
    <sheetView workbookViewId="0" topLeftCell="A1">
      <selection activeCell="A2" sqref="A2"/>
    </sheetView>
  </sheetViews>
  <sheetFormatPr defaultColWidth="9.140625" defaultRowHeight="12.75" customHeight="1"/>
  <cols>
    <col min="1" max="1" width="18.7109375" style="3" customWidth="1"/>
    <col min="2" max="16" width="7.28125" style="3" customWidth="1"/>
    <col min="17" max="16384" width="9.140625" style="3" customWidth="1"/>
  </cols>
  <sheetData>
    <row r="1" ht="12.75" customHeight="1">
      <c r="A1" s="1" t="s">
        <v>31</v>
      </c>
    </row>
    <row r="2" ht="12.75" customHeight="1">
      <c r="A2" s="1"/>
    </row>
    <row r="3" spans="1:16" ht="12.75" customHeight="1">
      <c r="A3"/>
      <c r="B3" s="34" t="s">
        <v>1</v>
      </c>
      <c r="C3" s="35"/>
      <c r="D3" s="34" t="s">
        <v>2</v>
      </c>
      <c r="E3" s="35"/>
      <c r="F3" s="34" t="s">
        <v>3</v>
      </c>
      <c r="G3" s="35"/>
      <c r="H3" s="34" t="s">
        <v>4</v>
      </c>
      <c r="I3" s="35"/>
      <c r="J3" s="34" t="s">
        <v>5</v>
      </c>
      <c r="K3" s="35"/>
      <c r="L3" s="34" t="s">
        <v>6</v>
      </c>
      <c r="M3" s="35"/>
      <c r="N3" s="34" t="s">
        <v>7</v>
      </c>
      <c r="O3" s="35"/>
      <c r="P3" s="30" t="s">
        <v>8</v>
      </c>
    </row>
    <row r="4" spans="1:16" ht="12.75" customHeight="1">
      <c r="A4" s="7" t="s">
        <v>64</v>
      </c>
      <c r="B4" s="31" t="s">
        <v>9</v>
      </c>
      <c r="C4" s="32" t="s">
        <v>10</v>
      </c>
      <c r="D4" s="31" t="s">
        <v>9</v>
      </c>
      <c r="E4" s="32" t="s">
        <v>10</v>
      </c>
      <c r="F4" s="31" t="s">
        <v>9</v>
      </c>
      <c r="G4" s="32" t="s">
        <v>10</v>
      </c>
      <c r="H4" s="31" t="s">
        <v>9</v>
      </c>
      <c r="I4" s="32" t="s">
        <v>10</v>
      </c>
      <c r="J4" s="31" t="s">
        <v>9</v>
      </c>
      <c r="K4" s="32" t="s">
        <v>10</v>
      </c>
      <c r="L4" s="31" t="s">
        <v>9</v>
      </c>
      <c r="M4" s="32" t="s">
        <v>10</v>
      </c>
      <c r="N4" s="31" t="s">
        <v>9</v>
      </c>
      <c r="O4" s="32" t="s">
        <v>10</v>
      </c>
      <c r="P4" s="33" t="s">
        <v>7</v>
      </c>
    </row>
    <row r="5" spans="1:16" ht="12" customHeight="1">
      <c r="A5"/>
      <c r="B5" s="4"/>
      <c r="C5" s="5"/>
      <c r="D5" s="4"/>
      <c r="E5" s="5"/>
      <c r="F5" s="4"/>
      <c r="G5" s="5"/>
      <c r="H5" s="4"/>
      <c r="I5" s="5"/>
      <c r="J5" s="4"/>
      <c r="K5" s="5"/>
      <c r="L5" s="4"/>
      <c r="M5" s="5"/>
      <c r="N5" s="4"/>
      <c r="O5" s="5"/>
      <c r="P5" s="10"/>
    </row>
    <row r="6" spans="1:16" ht="12.75" customHeight="1">
      <c r="A6" s="7" t="s">
        <v>43</v>
      </c>
      <c r="B6" s="44">
        <v>0</v>
      </c>
      <c r="C6" s="45">
        <v>0</v>
      </c>
      <c r="D6" s="44">
        <v>0</v>
      </c>
      <c r="E6" s="45">
        <v>0</v>
      </c>
      <c r="F6" s="44">
        <v>0</v>
      </c>
      <c r="G6" s="45">
        <v>0</v>
      </c>
      <c r="H6" s="44">
        <v>0</v>
      </c>
      <c r="I6" s="45">
        <v>0</v>
      </c>
      <c r="J6" s="44">
        <v>0</v>
      </c>
      <c r="K6" s="45">
        <v>0</v>
      </c>
      <c r="L6" s="44">
        <v>0</v>
      </c>
      <c r="M6" s="45">
        <v>0</v>
      </c>
      <c r="N6" s="44">
        <f aca="true" t="shared" si="0" ref="N6:O10">L6+J6+H6+F6+D6+B6</f>
        <v>0</v>
      </c>
      <c r="O6" s="45">
        <f t="shared" si="0"/>
        <v>0</v>
      </c>
      <c r="P6" s="46">
        <f>O6+N6</f>
        <v>0</v>
      </c>
    </row>
    <row r="7" spans="1:16" ht="12.75" customHeight="1">
      <c r="A7" s="52" t="s">
        <v>46</v>
      </c>
      <c r="B7" s="44">
        <v>0</v>
      </c>
      <c r="C7" s="45">
        <v>0</v>
      </c>
      <c r="D7" s="44">
        <v>0</v>
      </c>
      <c r="E7" s="45">
        <v>0</v>
      </c>
      <c r="F7" s="44">
        <v>0</v>
      </c>
      <c r="G7" s="45">
        <v>0</v>
      </c>
      <c r="H7" s="44">
        <v>0</v>
      </c>
      <c r="I7" s="45">
        <v>0</v>
      </c>
      <c r="J7" s="44">
        <v>0</v>
      </c>
      <c r="K7" s="45">
        <v>0</v>
      </c>
      <c r="L7" s="44">
        <v>0</v>
      </c>
      <c r="M7" s="45">
        <v>0</v>
      </c>
      <c r="N7" s="44">
        <f t="shared" si="0"/>
        <v>0</v>
      </c>
      <c r="O7" s="45">
        <f t="shared" si="0"/>
        <v>0</v>
      </c>
      <c r="P7" s="46">
        <f>O7+N7</f>
        <v>0</v>
      </c>
    </row>
    <row r="8" spans="1:16" ht="12.75" customHeight="1">
      <c r="A8" s="52" t="s">
        <v>49</v>
      </c>
      <c r="B8" s="44">
        <v>0</v>
      </c>
      <c r="C8" s="45">
        <v>0</v>
      </c>
      <c r="D8" s="44">
        <v>0</v>
      </c>
      <c r="E8" s="45">
        <v>0</v>
      </c>
      <c r="F8" s="44">
        <v>0</v>
      </c>
      <c r="G8" s="45">
        <v>0</v>
      </c>
      <c r="H8" s="44">
        <v>0</v>
      </c>
      <c r="I8" s="45">
        <v>0</v>
      </c>
      <c r="J8" s="44">
        <v>0</v>
      </c>
      <c r="K8" s="45">
        <v>0</v>
      </c>
      <c r="L8" s="44">
        <v>0</v>
      </c>
      <c r="M8" s="45">
        <v>0</v>
      </c>
      <c r="N8" s="44">
        <f t="shared" si="0"/>
        <v>0</v>
      </c>
      <c r="O8" s="45">
        <f t="shared" si="0"/>
        <v>0</v>
      </c>
      <c r="P8" s="46">
        <f>O8+N8</f>
        <v>0</v>
      </c>
    </row>
    <row r="9" spans="1:16" ht="12.75" customHeight="1">
      <c r="A9" s="52" t="s">
        <v>58</v>
      </c>
      <c r="B9" s="44">
        <v>0</v>
      </c>
      <c r="C9" s="45">
        <v>0</v>
      </c>
      <c r="D9" s="44">
        <v>0</v>
      </c>
      <c r="E9" s="45">
        <v>0</v>
      </c>
      <c r="F9" s="44">
        <v>0</v>
      </c>
      <c r="G9" s="45">
        <v>0</v>
      </c>
      <c r="H9" s="44">
        <v>0</v>
      </c>
      <c r="I9" s="45">
        <v>0</v>
      </c>
      <c r="J9" s="44">
        <v>0</v>
      </c>
      <c r="K9" s="45">
        <v>0</v>
      </c>
      <c r="L9" s="44">
        <v>0</v>
      </c>
      <c r="M9" s="45">
        <v>0</v>
      </c>
      <c r="N9" s="44">
        <f t="shared" si="0"/>
        <v>0</v>
      </c>
      <c r="O9" s="45">
        <f t="shared" si="0"/>
        <v>0</v>
      </c>
      <c r="P9" s="46">
        <f>O9+N9</f>
        <v>0</v>
      </c>
    </row>
    <row r="10" spans="1:16" ht="12.75" customHeight="1">
      <c r="A10" s="52" t="s">
        <v>60</v>
      </c>
      <c r="B10" s="44">
        <v>0</v>
      </c>
      <c r="C10" s="45">
        <v>0</v>
      </c>
      <c r="D10" s="44">
        <v>0</v>
      </c>
      <c r="E10" s="45">
        <v>0</v>
      </c>
      <c r="F10" s="44">
        <v>0</v>
      </c>
      <c r="G10" s="45">
        <v>0</v>
      </c>
      <c r="H10" s="44">
        <v>0</v>
      </c>
      <c r="I10" s="45">
        <v>0</v>
      </c>
      <c r="J10" s="44">
        <v>0</v>
      </c>
      <c r="K10" s="45">
        <v>0</v>
      </c>
      <c r="L10" s="44">
        <v>0</v>
      </c>
      <c r="M10" s="45">
        <v>0</v>
      </c>
      <c r="N10" s="44">
        <f t="shared" si="0"/>
        <v>0</v>
      </c>
      <c r="O10" s="45">
        <f t="shared" si="0"/>
        <v>0</v>
      </c>
      <c r="P10" s="46">
        <f>O10+N10</f>
        <v>0</v>
      </c>
    </row>
    <row r="11" spans="2:16" ht="12.75" customHeight="1">
      <c r="B11" s="11"/>
      <c r="C11" s="12"/>
      <c r="D11" s="11"/>
      <c r="E11" s="12"/>
      <c r="F11" s="11"/>
      <c r="G11" s="12"/>
      <c r="H11" s="11"/>
      <c r="I11" s="12"/>
      <c r="J11" s="11"/>
      <c r="K11" s="12"/>
      <c r="L11" s="11"/>
      <c r="M11" s="12"/>
      <c r="N11" s="11"/>
      <c r="O11" s="12"/>
      <c r="P11" s="13"/>
    </row>
    <row r="12" ht="12.75" customHeight="1">
      <c r="A12"/>
    </row>
    <row r="13" ht="12.75" customHeight="1">
      <c r="A13" s="7" t="s">
        <v>17</v>
      </c>
    </row>
    <row r="14" spans="1:16" ht="12.75" customHeight="1">
      <c r="A14" s="7" t="s">
        <v>12</v>
      </c>
      <c r="B14" s="34" t="s">
        <v>1</v>
      </c>
      <c r="C14" s="35"/>
      <c r="D14" s="34" t="s">
        <v>2</v>
      </c>
      <c r="E14" s="35"/>
      <c r="F14" s="34" t="s">
        <v>3</v>
      </c>
      <c r="G14" s="35"/>
      <c r="H14" s="34" t="s">
        <v>4</v>
      </c>
      <c r="I14" s="35"/>
      <c r="J14" s="34" t="s">
        <v>5</v>
      </c>
      <c r="K14" s="35"/>
      <c r="L14" s="34" t="s">
        <v>6</v>
      </c>
      <c r="M14" s="35"/>
      <c r="N14" s="34" t="s">
        <v>7</v>
      </c>
      <c r="O14" s="35"/>
      <c r="P14" s="30" t="s">
        <v>8</v>
      </c>
    </row>
    <row r="15" spans="1:16" ht="12.75" customHeight="1">
      <c r="A15" s="7" t="s">
        <v>13</v>
      </c>
      <c r="B15" s="31" t="s">
        <v>9</v>
      </c>
      <c r="C15" s="32" t="s">
        <v>10</v>
      </c>
      <c r="D15" s="31" t="s">
        <v>9</v>
      </c>
      <c r="E15" s="32" t="s">
        <v>10</v>
      </c>
      <c r="F15" s="31" t="s">
        <v>9</v>
      </c>
      <c r="G15" s="32" t="s">
        <v>10</v>
      </c>
      <c r="H15" s="31" t="s">
        <v>9</v>
      </c>
      <c r="I15" s="32" t="s">
        <v>10</v>
      </c>
      <c r="J15" s="31" t="s">
        <v>9</v>
      </c>
      <c r="K15" s="32" t="s">
        <v>10</v>
      </c>
      <c r="L15" s="31" t="s">
        <v>9</v>
      </c>
      <c r="M15" s="32" t="s">
        <v>10</v>
      </c>
      <c r="N15" s="31" t="s">
        <v>9</v>
      </c>
      <c r="O15" s="32" t="s">
        <v>10</v>
      </c>
      <c r="P15" s="33" t="s">
        <v>7</v>
      </c>
    </row>
    <row r="16" spans="1:16" ht="12.75" customHeight="1">
      <c r="A16" s="7"/>
      <c r="B16" s="14"/>
      <c r="C16" s="15"/>
      <c r="D16" s="14"/>
      <c r="E16" s="15"/>
      <c r="F16" s="14"/>
      <c r="G16" s="15"/>
      <c r="H16" s="14"/>
      <c r="I16" s="15"/>
      <c r="J16" s="14"/>
      <c r="K16" s="15"/>
      <c r="L16" s="14"/>
      <c r="M16" s="15"/>
      <c r="N16" s="14"/>
      <c r="O16" s="15"/>
      <c r="P16" s="16"/>
    </row>
    <row r="17" spans="1:16" s="2" customFormat="1" ht="12.75" customHeight="1">
      <c r="A17" s="17" t="s">
        <v>43</v>
      </c>
      <c r="B17" s="44">
        <v>0</v>
      </c>
      <c r="C17" s="45">
        <v>0</v>
      </c>
      <c r="D17" s="44">
        <v>0</v>
      </c>
      <c r="E17" s="45">
        <v>0</v>
      </c>
      <c r="F17" s="44">
        <v>0</v>
      </c>
      <c r="G17" s="45">
        <v>0</v>
      </c>
      <c r="H17" s="44">
        <v>0</v>
      </c>
      <c r="I17" s="45">
        <v>0</v>
      </c>
      <c r="J17" s="44">
        <v>0</v>
      </c>
      <c r="K17" s="45">
        <v>0</v>
      </c>
      <c r="L17" s="44">
        <v>0</v>
      </c>
      <c r="M17" s="45">
        <v>0</v>
      </c>
      <c r="N17" s="44">
        <f aca="true" t="shared" si="1" ref="N17:O19">L17+J17+H17+F17+D17+B17</f>
        <v>0</v>
      </c>
      <c r="O17" s="45">
        <f t="shared" si="1"/>
        <v>0</v>
      </c>
      <c r="P17" s="46">
        <f>O17+N17</f>
        <v>0</v>
      </c>
    </row>
    <row r="18" spans="1:16" s="2" customFormat="1" ht="12.75" customHeight="1">
      <c r="A18" s="52" t="s">
        <v>46</v>
      </c>
      <c r="B18" s="44">
        <v>0</v>
      </c>
      <c r="C18" s="45">
        <v>0</v>
      </c>
      <c r="D18" s="44">
        <v>0</v>
      </c>
      <c r="E18" s="45">
        <v>0</v>
      </c>
      <c r="F18" s="44">
        <v>0</v>
      </c>
      <c r="G18" s="45">
        <v>0</v>
      </c>
      <c r="H18" s="44">
        <v>0</v>
      </c>
      <c r="I18" s="45">
        <v>0</v>
      </c>
      <c r="J18" s="44">
        <v>0</v>
      </c>
      <c r="K18" s="45">
        <v>0</v>
      </c>
      <c r="L18" s="44">
        <v>0</v>
      </c>
      <c r="M18" s="45">
        <v>0</v>
      </c>
      <c r="N18" s="44">
        <f t="shared" si="1"/>
        <v>0</v>
      </c>
      <c r="O18" s="45">
        <f t="shared" si="1"/>
        <v>0</v>
      </c>
      <c r="P18" s="46">
        <f>O18+N18</f>
        <v>0</v>
      </c>
    </row>
    <row r="19" spans="1:16" s="2" customFormat="1" ht="12.75" customHeight="1">
      <c r="A19" s="52" t="s">
        <v>49</v>
      </c>
      <c r="B19" s="44">
        <v>0</v>
      </c>
      <c r="C19" s="45">
        <v>0</v>
      </c>
      <c r="D19" s="44">
        <v>0</v>
      </c>
      <c r="E19" s="45">
        <v>0</v>
      </c>
      <c r="F19" s="44">
        <v>0</v>
      </c>
      <c r="G19" s="45">
        <v>0</v>
      </c>
      <c r="H19" s="44">
        <v>0</v>
      </c>
      <c r="I19" s="45">
        <v>0</v>
      </c>
      <c r="J19" s="44">
        <v>0</v>
      </c>
      <c r="K19" s="45">
        <v>0</v>
      </c>
      <c r="L19" s="44">
        <v>0</v>
      </c>
      <c r="M19" s="45">
        <v>0</v>
      </c>
      <c r="N19" s="44">
        <f t="shared" si="1"/>
        <v>0</v>
      </c>
      <c r="O19" s="45">
        <f t="shared" si="1"/>
        <v>0</v>
      </c>
      <c r="P19" s="46">
        <f>O19+N19</f>
        <v>0</v>
      </c>
    </row>
    <row r="20" spans="1:16" s="2" customFormat="1" ht="12.75" customHeight="1">
      <c r="A20" s="52" t="s">
        <v>58</v>
      </c>
      <c r="B20" s="44">
        <v>0</v>
      </c>
      <c r="C20" s="45">
        <v>0</v>
      </c>
      <c r="D20" s="44">
        <v>0</v>
      </c>
      <c r="E20" s="45">
        <v>0</v>
      </c>
      <c r="F20" s="44">
        <v>0</v>
      </c>
      <c r="G20" s="45">
        <v>0</v>
      </c>
      <c r="H20" s="44">
        <v>0</v>
      </c>
      <c r="I20" s="45">
        <v>0</v>
      </c>
      <c r="J20" s="44">
        <v>0</v>
      </c>
      <c r="K20" s="45">
        <v>0</v>
      </c>
      <c r="L20" s="44">
        <v>0</v>
      </c>
      <c r="M20" s="45">
        <v>0</v>
      </c>
      <c r="N20" s="44">
        <v>0</v>
      </c>
      <c r="O20" s="45">
        <f>M20+K20+I20+G20+E20+C20</f>
        <v>0</v>
      </c>
      <c r="P20" s="46">
        <f>O20+N20</f>
        <v>0</v>
      </c>
    </row>
    <row r="21" spans="1:16" s="2" customFormat="1" ht="12.75" customHeight="1">
      <c r="A21" s="52" t="s">
        <v>60</v>
      </c>
      <c r="B21" s="44">
        <v>0</v>
      </c>
      <c r="C21" s="45">
        <v>0</v>
      </c>
      <c r="D21" s="44">
        <v>0</v>
      </c>
      <c r="E21" s="45">
        <v>0</v>
      </c>
      <c r="F21" s="44">
        <v>0</v>
      </c>
      <c r="G21" s="45">
        <v>0</v>
      </c>
      <c r="H21" s="44">
        <v>0</v>
      </c>
      <c r="I21" s="45">
        <v>0</v>
      </c>
      <c r="J21" s="44">
        <v>0</v>
      </c>
      <c r="K21" s="45">
        <v>0</v>
      </c>
      <c r="L21" s="44">
        <v>0</v>
      </c>
      <c r="M21" s="45">
        <v>0</v>
      </c>
      <c r="N21" s="44">
        <v>0</v>
      </c>
      <c r="O21" s="45">
        <f>M21+K21+I21+G21+E21+C21</f>
        <v>0</v>
      </c>
      <c r="P21" s="46">
        <f>O21+N21</f>
        <v>0</v>
      </c>
    </row>
    <row r="22" spans="2:16" ht="12.75" customHeight="1">
      <c r="B22" s="11"/>
      <c r="C22" s="12"/>
      <c r="D22" s="11"/>
      <c r="E22" s="12"/>
      <c r="F22" s="11"/>
      <c r="G22" s="12"/>
      <c r="H22" s="11"/>
      <c r="I22" s="12"/>
      <c r="J22" s="11"/>
      <c r="K22" s="12"/>
      <c r="L22" s="11"/>
      <c r="M22" s="12"/>
      <c r="N22" s="11"/>
      <c r="O22" s="12"/>
      <c r="P22" s="13"/>
    </row>
    <row r="24" ht="12.75" customHeight="1">
      <c r="A24" s="38"/>
    </row>
    <row r="25" ht="12.75" customHeight="1">
      <c r="A25" s="27"/>
    </row>
    <row r="61" spans="1:16" s="2" customFormat="1" ht="12.7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</row>
    <row r="71" spans="1:16" s="2" customFormat="1" ht="12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</row>
    <row r="82" spans="1:16" s="2" customFormat="1" ht="12.7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</row>
    <row r="95" spans="1:16" s="2" customFormat="1" ht="12.7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</row>
    <row r="136" spans="1:16" s="2" customFormat="1" ht="12.7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</row>
  </sheetData>
  <printOptions/>
  <pageMargins left="1" right="0.25" top="1" bottom="0.75" header="0.5" footer="0.25"/>
  <pageSetup fitToHeight="1" fitToWidth="1" horizontalDpi="300" verticalDpi="300" orientation="landscape" scale="97" r:id="rId1"/>
  <headerFooter alignWithMargins="0">
    <oddHeader>&amp;CThe University of Alabama in Huntsville
Unit Academic Reports 
</oddHeader>
    <oddFooter>&amp;L&amp;8Office of Institutional Research
&amp;D (np)
&amp;F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1"/>
  <sheetViews>
    <sheetView workbookViewId="0" topLeftCell="A1">
      <selection activeCell="A2" sqref="A2"/>
    </sheetView>
  </sheetViews>
  <sheetFormatPr defaultColWidth="9.140625" defaultRowHeight="12.75" customHeight="1"/>
  <cols>
    <col min="1" max="1" width="25.7109375" style="27" customWidth="1"/>
    <col min="2" max="8" width="14.7109375" style="3" customWidth="1"/>
    <col min="9" max="16384" width="9.140625" style="3" customWidth="1"/>
  </cols>
  <sheetData>
    <row r="1" ht="12.75" customHeight="1">
      <c r="A1" s="1" t="s">
        <v>31</v>
      </c>
    </row>
    <row r="2" spans="6:8" ht="12.75" customHeight="1">
      <c r="F2"/>
      <c r="G2"/>
      <c r="H2"/>
    </row>
    <row r="3" spans="1:8" ht="12.75" customHeight="1">
      <c r="A3" s="7" t="s">
        <v>17</v>
      </c>
      <c r="F3"/>
      <c r="G3"/>
      <c r="H3"/>
    </row>
    <row r="4" spans="1:7" s="27" customFormat="1" ht="12.75" customHeight="1">
      <c r="A4" s="7" t="s">
        <v>12</v>
      </c>
      <c r="B4" s="37" t="s">
        <v>16</v>
      </c>
      <c r="C4" s="37" t="s">
        <v>14</v>
      </c>
      <c r="D4" s="37" t="s">
        <v>15</v>
      </c>
      <c r="E4" s="28"/>
      <c r="F4" s="28"/>
      <c r="G4" s="28"/>
    </row>
    <row r="5" spans="2:7" ht="12.75" customHeight="1">
      <c r="B5" s="10"/>
      <c r="C5" s="10"/>
      <c r="D5" s="10"/>
      <c r="E5"/>
      <c r="F5"/>
      <c r="G5"/>
    </row>
    <row r="6" spans="1:7" s="2" customFormat="1" ht="12.75" customHeight="1">
      <c r="A6" s="7" t="s">
        <v>43</v>
      </c>
      <c r="B6" s="16">
        <v>0</v>
      </c>
      <c r="C6" s="16">
        <f>OPT!P17</f>
        <v>0</v>
      </c>
      <c r="D6" s="16">
        <v>0</v>
      </c>
      <c r="E6" s="25"/>
      <c r="F6" s="25"/>
      <c r="G6" s="25"/>
    </row>
    <row r="7" spans="1:7" s="2" customFormat="1" ht="12.75" customHeight="1">
      <c r="A7" s="52" t="s">
        <v>46</v>
      </c>
      <c r="B7" s="16">
        <v>0</v>
      </c>
      <c r="C7" s="16">
        <f>OPT!P18</f>
        <v>0</v>
      </c>
      <c r="D7" s="16">
        <v>0</v>
      </c>
      <c r="E7" s="25"/>
      <c r="F7" s="25"/>
      <c r="G7" s="25"/>
    </row>
    <row r="8" spans="1:7" s="2" customFormat="1" ht="12.75" customHeight="1">
      <c r="A8" s="52" t="s">
        <v>49</v>
      </c>
      <c r="B8" s="16">
        <v>0</v>
      </c>
      <c r="C8" s="16">
        <f>OPT!P19</f>
        <v>0</v>
      </c>
      <c r="D8" s="16">
        <v>0</v>
      </c>
      <c r="E8" s="25"/>
      <c r="F8" s="25"/>
      <c r="G8" s="25"/>
    </row>
    <row r="9" spans="1:7" s="2" customFormat="1" ht="12.75" customHeight="1">
      <c r="A9" s="52" t="s">
        <v>58</v>
      </c>
      <c r="B9" s="16">
        <v>0</v>
      </c>
      <c r="C9" s="16">
        <f>OPT!P20</f>
        <v>0</v>
      </c>
      <c r="D9" s="16">
        <v>0</v>
      </c>
      <c r="E9" s="25"/>
      <c r="F9" s="25"/>
      <c r="G9" s="25"/>
    </row>
    <row r="10" spans="1:7" s="2" customFormat="1" ht="12.75" customHeight="1">
      <c r="A10" s="52" t="s">
        <v>60</v>
      </c>
      <c r="B10" s="16">
        <v>0</v>
      </c>
      <c r="C10" s="16">
        <f>OPT!P21</f>
        <v>0</v>
      </c>
      <c r="D10" s="16">
        <v>0</v>
      </c>
      <c r="E10" s="25"/>
      <c r="F10" s="25"/>
      <c r="G10" s="25"/>
    </row>
    <row r="11" spans="2:7" ht="12.75" customHeight="1">
      <c r="B11" s="13"/>
      <c r="C11" s="13"/>
      <c r="D11" s="13"/>
      <c r="E11"/>
      <c r="F11"/>
      <c r="G11"/>
    </row>
    <row r="12" spans="6:8" ht="12.75" customHeight="1">
      <c r="F12"/>
      <c r="G12"/>
      <c r="H12"/>
    </row>
    <row r="13" spans="1:8" s="38" customFormat="1" ht="12.75" customHeight="1">
      <c r="A13" s="26" t="s">
        <v>48</v>
      </c>
      <c r="B13" s="40" t="s">
        <v>17</v>
      </c>
      <c r="C13" s="40" t="s">
        <v>17</v>
      </c>
      <c r="D13" s="40" t="s">
        <v>7</v>
      </c>
      <c r="E13" s="40" t="s">
        <v>11</v>
      </c>
      <c r="F13" s="40" t="s">
        <v>11</v>
      </c>
      <c r="G13" s="41" t="s">
        <v>7</v>
      </c>
      <c r="H13" s="41" t="s">
        <v>8</v>
      </c>
    </row>
    <row r="14" spans="1:8" s="38" customFormat="1" ht="12.75" customHeight="1">
      <c r="A14" s="26"/>
      <c r="B14" s="42" t="s">
        <v>18</v>
      </c>
      <c r="C14" s="42" t="s">
        <v>19</v>
      </c>
      <c r="D14" s="42" t="s">
        <v>17</v>
      </c>
      <c r="E14" s="42" t="s">
        <v>20</v>
      </c>
      <c r="F14" s="42" t="s">
        <v>21</v>
      </c>
      <c r="G14" s="43" t="s">
        <v>11</v>
      </c>
      <c r="H14" s="43" t="s">
        <v>7</v>
      </c>
    </row>
    <row r="15" spans="2:8" ht="12.75" customHeight="1">
      <c r="B15" s="4"/>
      <c r="C15" s="4"/>
      <c r="D15" s="4"/>
      <c r="E15" s="4"/>
      <c r="F15" s="4"/>
      <c r="G15" s="4"/>
      <c r="H15" s="10"/>
    </row>
    <row r="16" spans="1:8" ht="12.75" customHeight="1">
      <c r="A16" s="7" t="s">
        <v>43</v>
      </c>
      <c r="B16" s="50">
        <v>0</v>
      </c>
      <c r="C16" s="50">
        <v>55</v>
      </c>
      <c r="D16" s="50">
        <f>C16+B16</f>
        <v>55</v>
      </c>
      <c r="E16" s="50">
        <v>0</v>
      </c>
      <c r="F16" s="50">
        <v>0</v>
      </c>
      <c r="G16" s="50">
        <f>F16+E16</f>
        <v>0</v>
      </c>
      <c r="H16" s="51">
        <f>G16+D16</f>
        <v>55</v>
      </c>
    </row>
    <row r="17" spans="1:8" ht="12.75" customHeight="1">
      <c r="A17" s="52" t="s">
        <v>46</v>
      </c>
      <c r="B17" s="50">
        <v>0</v>
      </c>
      <c r="C17" s="50">
        <f>41+19</f>
        <v>60</v>
      </c>
      <c r="D17" s="50">
        <f>C17+B17</f>
        <v>60</v>
      </c>
      <c r="E17" s="50">
        <v>0</v>
      </c>
      <c r="F17" s="50">
        <v>0</v>
      </c>
      <c r="G17" s="50">
        <f>F17+E17</f>
        <v>0</v>
      </c>
      <c r="H17" s="51">
        <f>G17+D17</f>
        <v>60</v>
      </c>
    </row>
    <row r="18" spans="1:8" ht="12.75" customHeight="1">
      <c r="A18" s="52" t="s">
        <v>49</v>
      </c>
      <c r="B18" s="50">
        <v>0</v>
      </c>
      <c r="C18" s="50">
        <f>23+21</f>
        <v>44</v>
      </c>
      <c r="D18" s="50">
        <f>C18+B18</f>
        <v>44</v>
      </c>
      <c r="E18" s="50">
        <v>0</v>
      </c>
      <c r="F18" s="50">
        <v>0</v>
      </c>
      <c r="G18" s="50">
        <f>F18+E18</f>
        <v>0</v>
      </c>
      <c r="H18" s="51">
        <f>G18+D18</f>
        <v>44</v>
      </c>
    </row>
    <row r="19" spans="1:8" ht="12.75" customHeight="1">
      <c r="A19" s="52" t="s">
        <v>58</v>
      </c>
      <c r="B19" s="50">
        <v>0</v>
      </c>
      <c r="C19" s="50">
        <v>37</v>
      </c>
      <c r="D19" s="50">
        <f>C19+B19</f>
        <v>37</v>
      </c>
      <c r="E19" s="50">
        <v>0</v>
      </c>
      <c r="F19" s="50">
        <v>0</v>
      </c>
      <c r="G19" s="50">
        <f>F19+E19</f>
        <v>0</v>
      </c>
      <c r="H19" s="51">
        <f>G19+D19</f>
        <v>37</v>
      </c>
    </row>
    <row r="20" spans="1:8" ht="12.75" customHeight="1">
      <c r="A20" s="52" t="s">
        <v>60</v>
      </c>
      <c r="B20" s="50">
        <v>0</v>
      </c>
      <c r="C20" s="50">
        <v>57</v>
      </c>
      <c r="D20" s="50">
        <f>C20+B20</f>
        <v>57</v>
      </c>
      <c r="E20" s="50">
        <v>0</v>
      </c>
      <c r="F20" s="50">
        <v>0</v>
      </c>
      <c r="G20" s="50">
        <f>F20+E20</f>
        <v>0</v>
      </c>
      <c r="H20" s="51">
        <f>G20+D20</f>
        <v>57</v>
      </c>
    </row>
    <row r="21" spans="1:8" ht="12.75" customHeight="1">
      <c r="A21" s="28"/>
      <c r="B21" s="11"/>
      <c r="C21" s="11"/>
      <c r="D21" s="11"/>
      <c r="E21" s="11"/>
      <c r="F21" s="11"/>
      <c r="G21" s="11"/>
      <c r="H21" s="13"/>
    </row>
    <row r="23" spans="1:8" s="38" customFormat="1" ht="12.75" customHeight="1">
      <c r="A23" s="26" t="s">
        <v>47</v>
      </c>
      <c r="B23" s="40" t="s">
        <v>17</v>
      </c>
      <c r="C23" s="40" t="s">
        <v>17</v>
      </c>
      <c r="D23" s="40" t="s">
        <v>7</v>
      </c>
      <c r="E23" s="40" t="s">
        <v>11</v>
      </c>
      <c r="F23" s="40" t="s">
        <v>22</v>
      </c>
      <c r="G23" s="40" t="s">
        <v>23</v>
      </c>
      <c r="H23" s="41" t="s">
        <v>8</v>
      </c>
    </row>
    <row r="24" spans="2:8" s="38" customFormat="1" ht="12.75" customHeight="1">
      <c r="B24" s="42" t="s">
        <v>18</v>
      </c>
      <c r="C24" s="42" t="s">
        <v>19</v>
      </c>
      <c r="D24" s="42" t="s">
        <v>17</v>
      </c>
      <c r="E24" s="42" t="s">
        <v>20</v>
      </c>
      <c r="F24" s="42" t="s">
        <v>21</v>
      </c>
      <c r="G24" s="42" t="s">
        <v>11</v>
      </c>
      <c r="H24" s="43" t="s">
        <v>7</v>
      </c>
    </row>
    <row r="25" spans="2:8" ht="12.75" customHeight="1">
      <c r="B25" s="14"/>
      <c r="C25" s="14"/>
      <c r="D25" s="14"/>
      <c r="E25" s="14"/>
      <c r="F25" s="14"/>
      <c r="G25" s="14"/>
      <c r="H25" s="16"/>
    </row>
    <row r="26" spans="1:8" ht="12.75" customHeight="1">
      <c r="A26" s="7" t="s">
        <v>43</v>
      </c>
      <c r="B26" s="23">
        <f>SUM(B16*1.1)</f>
        <v>0</v>
      </c>
      <c r="C26" s="23">
        <f>SUM(C16*1.48)</f>
        <v>81.4</v>
      </c>
      <c r="D26" s="23">
        <f>C26+B26</f>
        <v>81.4</v>
      </c>
      <c r="E26" s="23">
        <f>SUM(E16*5.36)</f>
        <v>0</v>
      </c>
      <c r="F26" s="23">
        <f>SUM(F16*17.6)</f>
        <v>0</v>
      </c>
      <c r="G26" s="23">
        <f>E26+F26</f>
        <v>0</v>
      </c>
      <c r="H26" s="24">
        <f>G26+D26</f>
        <v>81.4</v>
      </c>
    </row>
    <row r="27" spans="1:8" ht="12.75" customHeight="1">
      <c r="A27" s="52" t="s">
        <v>46</v>
      </c>
      <c r="B27" s="23">
        <f>SUM(B17*1.1)</f>
        <v>0</v>
      </c>
      <c r="C27" s="23">
        <f>SUM(C17*1.48)</f>
        <v>88.8</v>
      </c>
      <c r="D27" s="23">
        <f>C27+B27</f>
        <v>88.8</v>
      </c>
      <c r="E27" s="23">
        <f>SUM(E17*5.36)</f>
        <v>0</v>
      </c>
      <c r="F27" s="23">
        <f>SUM(F17*17.6)</f>
        <v>0</v>
      </c>
      <c r="G27" s="23">
        <f>E27+F27</f>
        <v>0</v>
      </c>
      <c r="H27" s="24">
        <f>G27+D27</f>
        <v>88.8</v>
      </c>
    </row>
    <row r="28" spans="1:8" ht="12.75" customHeight="1">
      <c r="A28" s="52" t="s">
        <v>49</v>
      </c>
      <c r="B28" s="23">
        <f>SUM(B18*1.1)</f>
        <v>0</v>
      </c>
      <c r="C28" s="23">
        <f>SUM(C18*1.48)</f>
        <v>65.12</v>
      </c>
      <c r="D28" s="23">
        <f>C28+B28</f>
        <v>65.12</v>
      </c>
      <c r="E28" s="23">
        <f>SUM(E18*5.36)</f>
        <v>0</v>
      </c>
      <c r="F28" s="23">
        <f>SUM(F18*17.6)</f>
        <v>0</v>
      </c>
      <c r="G28" s="23">
        <f>E28+F28</f>
        <v>0</v>
      </c>
      <c r="H28" s="24">
        <f>G28+D28</f>
        <v>65.12</v>
      </c>
    </row>
    <row r="29" spans="1:8" ht="12.75" customHeight="1">
      <c r="A29" s="52" t="s">
        <v>58</v>
      </c>
      <c r="B29" s="23">
        <f>SUM(B19*1.1)</f>
        <v>0</v>
      </c>
      <c r="C29" s="23">
        <f>SUM(C19*1.48)</f>
        <v>54.76</v>
      </c>
      <c r="D29" s="23">
        <f>C29+B29</f>
        <v>54.76</v>
      </c>
      <c r="E29" s="23">
        <f>SUM(E19*5.36)</f>
        <v>0</v>
      </c>
      <c r="F29" s="23">
        <f>SUM(F19*17.6)</f>
        <v>0</v>
      </c>
      <c r="G29" s="23">
        <f>E29+F29</f>
        <v>0</v>
      </c>
      <c r="H29" s="24">
        <f>G29+D29</f>
        <v>54.76</v>
      </c>
    </row>
    <row r="30" spans="1:8" ht="12.75" customHeight="1">
      <c r="A30" s="52" t="s">
        <v>60</v>
      </c>
      <c r="B30" s="23">
        <f>SUM(B20*1.1)</f>
        <v>0</v>
      </c>
      <c r="C30" s="23">
        <f>SUM(C20*1.48)</f>
        <v>84.36</v>
      </c>
      <c r="D30" s="23">
        <f>C30+B30</f>
        <v>84.36</v>
      </c>
      <c r="E30" s="23">
        <f>SUM(E20*5.36)</f>
        <v>0</v>
      </c>
      <c r="F30" s="23">
        <f>SUM(F20*17.6)</f>
        <v>0</v>
      </c>
      <c r="G30" s="23">
        <f>E30+F30</f>
        <v>0</v>
      </c>
      <c r="H30" s="24">
        <f>G30+D30</f>
        <v>84.36</v>
      </c>
    </row>
    <row r="31" spans="1:8" ht="12.75" customHeight="1">
      <c r="A31" s="28"/>
      <c r="B31" s="11"/>
      <c r="C31" s="11"/>
      <c r="D31" s="11"/>
      <c r="E31" s="11"/>
      <c r="F31" s="11"/>
      <c r="G31" s="11"/>
      <c r="H31" s="13"/>
    </row>
    <row r="33" ht="12.75" customHeight="1">
      <c r="A33" s="27" t="s">
        <v>50</v>
      </c>
    </row>
    <row r="40" spans="1:9" s="2" customFormat="1" ht="12.75" customHeight="1">
      <c r="A40" s="27"/>
      <c r="B40" s="3"/>
      <c r="C40" s="3"/>
      <c r="D40" s="3"/>
      <c r="E40" s="3"/>
      <c r="F40" s="3"/>
      <c r="G40" s="3"/>
      <c r="H40" s="3"/>
      <c r="I40" s="3"/>
    </row>
    <row r="49" spans="1:9" s="2" customFormat="1" ht="12.75" customHeight="1">
      <c r="A49" s="27"/>
      <c r="B49" s="3"/>
      <c r="C49" s="3"/>
      <c r="D49" s="3"/>
      <c r="E49" s="3"/>
      <c r="F49" s="3"/>
      <c r="G49" s="3"/>
      <c r="H49" s="3"/>
      <c r="I49" s="3"/>
    </row>
    <row r="80" spans="1:9" s="2" customFormat="1" ht="12.75" customHeight="1">
      <c r="A80" s="27"/>
      <c r="B80" s="3"/>
      <c r="C80" s="3"/>
      <c r="D80" s="3"/>
      <c r="E80" s="3"/>
      <c r="F80" s="3"/>
      <c r="G80" s="3"/>
      <c r="H80" s="3"/>
      <c r="I80" s="3"/>
    </row>
    <row r="84" ht="12.75" customHeight="1"/>
    <row r="101" spans="1:9" s="2" customFormat="1" ht="12.75" customHeight="1">
      <c r="A101" s="27"/>
      <c r="B101" s="3"/>
      <c r="C101" s="3"/>
      <c r="D101" s="3"/>
      <c r="E101" s="3"/>
      <c r="F101" s="3"/>
      <c r="G101" s="3"/>
      <c r="H101" s="3"/>
      <c r="I101" s="3"/>
    </row>
  </sheetData>
  <printOptions/>
  <pageMargins left="1" right="0.25" top="1" bottom="0.75" header="0.5" footer="0.25"/>
  <pageSetup fitToHeight="1" fitToWidth="1" horizontalDpi="300" verticalDpi="300" orientation="landscape" scale="97" r:id="rId1"/>
  <headerFooter alignWithMargins="0">
    <oddHeader>&amp;CThe University of Alabama in Huntsville
Unit Academic Reports 
</oddHeader>
    <oddFooter>&amp;L&amp;8Office of Institutional Research
&amp;D (np)
&amp;F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6"/>
  <sheetViews>
    <sheetView workbookViewId="0" topLeftCell="A1">
      <selection activeCell="A2" sqref="A2"/>
    </sheetView>
  </sheetViews>
  <sheetFormatPr defaultColWidth="9.140625" defaultRowHeight="11.25" customHeight="1"/>
  <cols>
    <col min="1" max="1" width="18.7109375" style="3" customWidth="1"/>
    <col min="2" max="18" width="7.28125" style="3" customWidth="1"/>
    <col min="19" max="16384" width="9.140625" style="3" customWidth="1"/>
  </cols>
  <sheetData>
    <row r="1" ht="11.25" customHeight="1">
      <c r="A1" s="1" t="s">
        <v>32</v>
      </c>
    </row>
    <row r="2" ht="11.25" customHeight="1">
      <c r="A2" s="18"/>
    </row>
    <row r="3" spans="1:18" ht="11.25" customHeight="1">
      <c r="A3"/>
      <c r="B3" s="34" t="s">
        <v>1</v>
      </c>
      <c r="C3" s="35"/>
      <c r="D3" s="34" t="s">
        <v>2</v>
      </c>
      <c r="E3" s="35"/>
      <c r="F3" s="34" t="s">
        <v>3</v>
      </c>
      <c r="G3" s="35"/>
      <c r="H3" s="34" t="s">
        <v>4</v>
      </c>
      <c r="I3" s="35"/>
      <c r="J3" s="34" t="s">
        <v>5</v>
      </c>
      <c r="K3" s="35"/>
      <c r="L3" s="127" t="s">
        <v>6</v>
      </c>
      <c r="M3" s="128"/>
      <c r="N3" s="127" t="s">
        <v>40</v>
      </c>
      <c r="O3" s="128"/>
      <c r="P3" s="34" t="s">
        <v>7</v>
      </c>
      <c r="Q3" s="35"/>
      <c r="R3" s="30" t="s">
        <v>8</v>
      </c>
    </row>
    <row r="4" spans="1:18" ht="11.25" customHeight="1">
      <c r="A4" s="7" t="s">
        <v>64</v>
      </c>
      <c r="B4" s="31" t="s">
        <v>9</v>
      </c>
      <c r="C4" s="32" t="s">
        <v>10</v>
      </c>
      <c r="D4" s="31" t="s">
        <v>9</v>
      </c>
      <c r="E4" s="32" t="s">
        <v>10</v>
      </c>
      <c r="F4" s="31" t="s">
        <v>9</v>
      </c>
      <c r="G4" s="32" t="s">
        <v>10</v>
      </c>
      <c r="H4" s="31" t="s">
        <v>9</v>
      </c>
      <c r="I4" s="32" t="s">
        <v>10</v>
      </c>
      <c r="J4" s="31" t="s">
        <v>9</v>
      </c>
      <c r="K4" s="32" t="s">
        <v>10</v>
      </c>
      <c r="L4" s="31" t="s">
        <v>9</v>
      </c>
      <c r="M4" s="32" t="s">
        <v>10</v>
      </c>
      <c r="N4" s="31" t="s">
        <v>9</v>
      </c>
      <c r="O4" s="32" t="s">
        <v>10</v>
      </c>
      <c r="P4" s="31" t="s">
        <v>9</v>
      </c>
      <c r="Q4" s="32" t="s">
        <v>10</v>
      </c>
      <c r="R4" s="33" t="s">
        <v>7</v>
      </c>
    </row>
    <row r="5" spans="1:18" ht="11.25" customHeight="1">
      <c r="A5"/>
      <c r="B5" s="4"/>
      <c r="C5" s="5"/>
      <c r="D5" s="4"/>
      <c r="E5" s="5"/>
      <c r="F5" s="4"/>
      <c r="G5" s="5"/>
      <c r="H5" s="4"/>
      <c r="I5" s="5"/>
      <c r="J5" s="4"/>
      <c r="K5" s="5"/>
      <c r="L5" s="4"/>
      <c r="M5" s="5"/>
      <c r="N5" s="74"/>
      <c r="O5" s="74"/>
      <c r="P5" s="4"/>
      <c r="Q5" s="5"/>
      <c r="R5" s="10"/>
    </row>
    <row r="6" spans="1:19" ht="11.25" customHeight="1">
      <c r="A6" s="17" t="s">
        <v>43</v>
      </c>
      <c r="B6" s="44">
        <v>6</v>
      </c>
      <c r="C6" s="45">
        <v>1</v>
      </c>
      <c r="D6" s="44">
        <v>0</v>
      </c>
      <c r="E6" s="45">
        <v>0</v>
      </c>
      <c r="F6" s="44">
        <v>0</v>
      </c>
      <c r="G6" s="45">
        <v>0</v>
      </c>
      <c r="H6" s="44">
        <v>0</v>
      </c>
      <c r="I6" s="45">
        <v>0</v>
      </c>
      <c r="J6" s="44">
        <v>0</v>
      </c>
      <c r="K6" s="45">
        <v>0</v>
      </c>
      <c r="L6" s="44">
        <v>1</v>
      </c>
      <c r="M6" s="45">
        <v>0</v>
      </c>
      <c r="N6" s="48">
        <v>0</v>
      </c>
      <c r="O6" s="48">
        <v>0</v>
      </c>
      <c r="P6" s="44">
        <f aca="true" t="shared" si="0" ref="P6:Q10">L6+J6+H6+F6+D6+B6</f>
        <v>7</v>
      </c>
      <c r="Q6" s="45">
        <f t="shared" si="0"/>
        <v>1</v>
      </c>
      <c r="R6" s="46">
        <f>Q6+P6</f>
        <v>8</v>
      </c>
      <c r="S6" s="47"/>
    </row>
    <row r="7" spans="1:19" ht="11.25" customHeight="1">
      <c r="A7" s="52" t="s">
        <v>46</v>
      </c>
      <c r="B7" s="44">
        <v>10</v>
      </c>
      <c r="C7" s="45">
        <v>4</v>
      </c>
      <c r="D7" s="44">
        <v>0</v>
      </c>
      <c r="E7" s="45">
        <v>0</v>
      </c>
      <c r="F7" s="44">
        <v>0</v>
      </c>
      <c r="G7" s="45">
        <v>0</v>
      </c>
      <c r="H7" s="44">
        <v>0</v>
      </c>
      <c r="I7" s="45">
        <v>0</v>
      </c>
      <c r="J7" s="44">
        <v>1</v>
      </c>
      <c r="K7" s="45">
        <v>0</v>
      </c>
      <c r="L7" s="44">
        <v>0</v>
      </c>
      <c r="M7" s="45">
        <v>0</v>
      </c>
      <c r="N7" s="48">
        <v>0</v>
      </c>
      <c r="O7" s="48">
        <v>0</v>
      </c>
      <c r="P7" s="44">
        <f t="shared" si="0"/>
        <v>11</v>
      </c>
      <c r="Q7" s="45">
        <f t="shared" si="0"/>
        <v>4</v>
      </c>
      <c r="R7" s="46">
        <f>Q7+P7</f>
        <v>15</v>
      </c>
      <c r="S7" s="47"/>
    </row>
    <row r="8" spans="1:19" ht="11.25" customHeight="1">
      <c r="A8" s="52" t="s">
        <v>49</v>
      </c>
      <c r="B8" s="44">
        <v>6</v>
      </c>
      <c r="C8" s="45">
        <v>2</v>
      </c>
      <c r="D8" s="44">
        <v>0</v>
      </c>
      <c r="E8" s="45">
        <v>0</v>
      </c>
      <c r="F8" s="44">
        <v>0</v>
      </c>
      <c r="G8" s="45">
        <v>0</v>
      </c>
      <c r="H8" s="44">
        <v>0</v>
      </c>
      <c r="I8" s="45">
        <v>0</v>
      </c>
      <c r="J8" s="44">
        <v>0</v>
      </c>
      <c r="K8" s="45">
        <v>0</v>
      </c>
      <c r="L8" s="44">
        <v>0</v>
      </c>
      <c r="M8" s="45">
        <v>0</v>
      </c>
      <c r="N8" s="48">
        <v>0</v>
      </c>
      <c r="O8" s="48">
        <v>0</v>
      </c>
      <c r="P8" s="44">
        <f t="shared" si="0"/>
        <v>6</v>
      </c>
      <c r="Q8" s="45">
        <f t="shared" si="0"/>
        <v>2</v>
      </c>
      <c r="R8" s="46">
        <f>Q8+P8</f>
        <v>8</v>
      </c>
      <c r="S8" s="47"/>
    </row>
    <row r="9" spans="1:19" ht="11.25" customHeight="1">
      <c r="A9" s="52" t="s">
        <v>58</v>
      </c>
      <c r="B9" s="44">
        <v>10</v>
      </c>
      <c r="C9" s="45">
        <v>1</v>
      </c>
      <c r="D9" s="44">
        <v>0</v>
      </c>
      <c r="E9" s="45">
        <v>0</v>
      </c>
      <c r="F9" s="44">
        <v>0</v>
      </c>
      <c r="G9" s="45">
        <v>0</v>
      </c>
      <c r="H9" s="44">
        <v>0</v>
      </c>
      <c r="I9" s="45">
        <v>0</v>
      </c>
      <c r="J9" s="44">
        <v>0</v>
      </c>
      <c r="K9" s="45">
        <v>0</v>
      </c>
      <c r="L9" s="44">
        <v>0</v>
      </c>
      <c r="M9" s="45">
        <v>0</v>
      </c>
      <c r="N9" s="48">
        <v>0</v>
      </c>
      <c r="O9" s="48">
        <v>0</v>
      </c>
      <c r="P9" s="44">
        <f t="shared" si="0"/>
        <v>10</v>
      </c>
      <c r="Q9" s="45">
        <f t="shared" si="0"/>
        <v>1</v>
      </c>
      <c r="R9" s="46">
        <f>Q9+P9</f>
        <v>11</v>
      </c>
      <c r="S9" s="47"/>
    </row>
    <row r="10" spans="1:19" ht="11.25" customHeight="1">
      <c r="A10" s="52" t="s">
        <v>60</v>
      </c>
      <c r="B10" s="44">
        <v>6</v>
      </c>
      <c r="C10" s="45">
        <v>3</v>
      </c>
      <c r="D10" s="44">
        <v>0</v>
      </c>
      <c r="E10" s="45">
        <v>0</v>
      </c>
      <c r="F10" s="44">
        <v>1</v>
      </c>
      <c r="G10" s="45">
        <v>0</v>
      </c>
      <c r="H10" s="44">
        <v>0</v>
      </c>
      <c r="I10" s="45">
        <v>0</v>
      </c>
      <c r="J10" s="44">
        <v>0</v>
      </c>
      <c r="K10" s="45">
        <v>0</v>
      </c>
      <c r="L10" s="44">
        <v>1</v>
      </c>
      <c r="M10" s="45">
        <v>0</v>
      </c>
      <c r="N10" s="48">
        <v>0</v>
      </c>
      <c r="O10" s="48">
        <v>0</v>
      </c>
      <c r="P10" s="44">
        <f t="shared" si="0"/>
        <v>8</v>
      </c>
      <c r="Q10" s="45">
        <f t="shared" si="0"/>
        <v>3</v>
      </c>
      <c r="R10" s="46">
        <f>Q10+P10</f>
        <v>11</v>
      </c>
      <c r="S10" s="47"/>
    </row>
    <row r="11" spans="2:18" ht="9.75" customHeight="1">
      <c r="B11" s="11"/>
      <c r="C11" s="12"/>
      <c r="D11" s="11"/>
      <c r="E11" s="12"/>
      <c r="F11" s="11"/>
      <c r="G11" s="12"/>
      <c r="H11" s="11"/>
      <c r="I11" s="12"/>
      <c r="J11" s="11"/>
      <c r="K11" s="12"/>
      <c r="L11" s="11"/>
      <c r="M11" s="12"/>
      <c r="N11" s="20"/>
      <c r="O11" s="20"/>
      <c r="P11" s="11"/>
      <c r="Q11" s="12"/>
      <c r="R11" s="13"/>
    </row>
    <row r="12" spans="2:18" ht="9.75" customHeight="1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</row>
    <row r="13" spans="1:18" ht="11.25" customHeight="1">
      <c r="A13"/>
      <c r="B13" s="34" t="s">
        <v>1</v>
      </c>
      <c r="C13" s="35"/>
      <c r="D13" s="34" t="s">
        <v>2</v>
      </c>
      <c r="E13" s="35"/>
      <c r="F13" s="34" t="s">
        <v>3</v>
      </c>
      <c r="G13" s="35"/>
      <c r="H13" s="34" t="s">
        <v>4</v>
      </c>
      <c r="I13" s="35"/>
      <c r="J13" s="34" t="s">
        <v>5</v>
      </c>
      <c r="K13" s="35"/>
      <c r="L13" s="127" t="s">
        <v>6</v>
      </c>
      <c r="M13" s="128"/>
      <c r="N13" s="127" t="s">
        <v>40</v>
      </c>
      <c r="O13" s="128"/>
      <c r="P13" s="34" t="s">
        <v>7</v>
      </c>
      <c r="Q13" s="35"/>
      <c r="R13" s="30" t="s">
        <v>8</v>
      </c>
    </row>
    <row r="14" spans="1:18" ht="11.25" customHeight="1">
      <c r="A14" s="54" t="s">
        <v>63</v>
      </c>
      <c r="B14" s="31" t="s">
        <v>9</v>
      </c>
      <c r="C14" s="32" t="s">
        <v>10</v>
      </c>
      <c r="D14" s="31" t="s">
        <v>9</v>
      </c>
      <c r="E14" s="32" t="s">
        <v>10</v>
      </c>
      <c r="F14" s="31" t="s">
        <v>9</v>
      </c>
      <c r="G14" s="32" t="s">
        <v>10</v>
      </c>
      <c r="H14" s="31" t="s">
        <v>9</v>
      </c>
      <c r="I14" s="32" t="s">
        <v>10</v>
      </c>
      <c r="J14" s="31" t="s">
        <v>9</v>
      </c>
      <c r="K14" s="32" t="s">
        <v>10</v>
      </c>
      <c r="L14" s="31" t="s">
        <v>9</v>
      </c>
      <c r="M14" s="32" t="s">
        <v>10</v>
      </c>
      <c r="N14" s="31" t="s">
        <v>9</v>
      </c>
      <c r="O14" s="32" t="s">
        <v>10</v>
      </c>
      <c r="P14" s="31" t="s">
        <v>9</v>
      </c>
      <c r="Q14" s="32" t="s">
        <v>10</v>
      </c>
      <c r="R14" s="33" t="s">
        <v>7</v>
      </c>
    </row>
    <row r="15" spans="1:18" ht="9.75" customHeight="1">
      <c r="A15"/>
      <c r="B15" s="4"/>
      <c r="C15" s="5"/>
      <c r="D15" s="4"/>
      <c r="E15" s="5"/>
      <c r="F15" s="4"/>
      <c r="G15" s="5"/>
      <c r="H15" s="4"/>
      <c r="I15" s="5"/>
      <c r="J15" s="4"/>
      <c r="K15" s="5"/>
      <c r="L15" s="4"/>
      <c r="M15" s="5"/>
      <c r="N15" s="74"/>
      <c r="O15" s="74"/>
      <c r="P15" s="4"/>
      <c r="Q15" s="5"/>
      <c r="R15" s="10"/>
    </row>
    <row r="16" spans="1:18" ht="11.25" customHeight="1">
      <c r="A16" s="17" t="s">
        <v>43</v>
      </c>
      <c r="B16" s="44">
        <v>5</v>
      </c>
      <c r="C16" s="45">
        <v>0</v>
      </c>
      <c r="D16" s="44">
        <v>1</v>
      </c>
      <c r="E16" s="45">
        <v>0</v>
      </c>
      <c r="F16" s="44">
        <v>0</v>
      </c>
      <c r="G16" s="45">
        <v>0</v>
      </c>
      <c r="H16" s="44">
        <v>0</v>
      </c>
      <c r="I16" s="45">
        <v>0</v>
      </c>
      <c r="J16" s="44">
        <v>0</v>
      </c>
      <c r="K16" s="45">
        <v>0</v>
      </c>
      <c r="L16" s="44">
        <v>2</v>
      </c>
      <c r="M16" s="45">
        <v>0</v>
      </c>
      <c r="N16" s="48">
        <v>0</v>
      </c>
      <c r="O16" s="48">
        <v>0</v>
      </c>
      <c r="P16" s="44">
        <f aca="true" t="shared" si="1" ref="P16:Q20">L16+J16+H16+F16+D16+B16</f>
        <v>8</v>
      </c>
      <c r="Q16" s="45">
        <f t="shared" si="1"/>
        <v>0</v>
      </c>
      <c r="R16" s="46">
        <f>Q16+P16</f>
        <v>8</v>
      </c>
    </row>
    <row r="17" spans="1:18" ht="11.25" customHeight="1">
      <c r="A17" s="52" t="s">
        <v>46</v>
      </c>
      <c r="B17" s="44">
        <v>4</v>
      </c>
      <c r="C17" s="45">
        <v>1</v>
      </c>
      <c r="D17" s="44">
        <v>0</v>
      </c>
      <c r="E17" s="45">
        <v>0</v>
      </c>
      <c r="F17" s="44">
        <v>0</v>
      </c>
      <c r="G17" s="45">
        <v>0</v>
      </c>
      <c r="H17" s="44">
        <v>0</v>
      </c>
      <c r="I17" s="45">
        <v>0</v>
      </c>
      <c r="J17" s="44">
        <v>0</v>
      </c>
      <c r="K17" s="45">
        <v>0</v>
      </c>
      <c r="L17" s="44">
        <v>1</v>
      </c>
      <c r="M17" s="45">
        <v>2</v>
      </c>
      <c r="N17" s="48">
        <v>0</v>
      </c>
      <c r="O17" s="48">
        <v>0</v>
      </c>
      <c r="P17" s="44">
        <f t="shared" si="1"/>
        <v>5</v>
      </c>
      <c r="Q17" s="45">
        <f t="shared" si="1"/>
        <v>3</v>
      </c>
      <c r="R17" s="46">
        <f>Q17+P17</f>
        <v>8</v>
      </c>
    </row>
    <row r="18" spans="1:18" ht="11.25" customHeight="1">
      <c r="A18" s="52" t="s">
        <v>49</v>
      </c>
      <c r="B18" s="44">
        <v>7</v>
      </c>
      <c r="C18" s="45">
        <v>0</v>
      </c>
      <c r="D18" s="44">
        <v>0</v>
      </c>
      <c r="E18" s="45">
        <v>0</v>
      </c>
      <c r="F18" s="44">
        <v>0</v>
      </c>
      <c r="G18" s="45">
        <v>0</v>
      </c>
      <c r="H18" s="44">
        <v>0</v>
      </c>
      <c r="I18" s="45">
        <v>0</v>
      </c>
      <c r="J18" s="44">
        <v>0</v>
      </c>
      <c r="K18" s="45">
        <v>0</v>
      </c>
      <c r="L18" s="44">
        <v>1</v>
      </c>
      <c r="M18" s="45">
        <v>0</v>
      </c>
      <c r="N18" s="48">
        <v>0</v>
      </c>
      <c r="O18" s="48">
        <v>0</v>
      </c>
      <c r="P18" s="44">
        <f t="shared" si="1"/>
        <v>8</v>
      </c>
      <c r="Q18" s="45">
        <f t="shared" si="1"/>
        <v>0</v>
      </c>
      <c r="R18" s="46">
        <f>Q18+P18</f>
        <v>8</v>
      </c>
    </row>
    <row r="19" spans="1:18" ht="11.25" customHeight="1">
      <c r="A19" s="52" t="s">
        <v>58</v>
      </c>
      <c r="B19" s="44">
        <v>1</v>
      </c>
      <c r="C19" s="45">
        <v>5</v>
      </c>
      <c r="D19" s="44">
        <v>0</v>
      </c>
      <c r="E19" s="45">
        <v>0</v>
      </c>
      <c r="F19" s="44">
        <v>0</v>
      </c>
      <c r="G19" s="45">
        <v>0</v>
      </c>
      <c r="H19" s="44">
        <v>0</v>
      </c>
      <c r="I19" s="45">
        <v>0</v>
      </c>
      <c r="J19" s="44">
        <v>0</v>
      </c>
      <c r="K19" s="45">
        <v>0</v>
      </c>
      <c r="L19" s="44">
        <v>2</v>
      </c>
      <c r="M19" s="45">
        <v>1</v>
      </c>
      <c r="N19" s="48">
        <v>0</v>
      </c>
      <c r="O19" s="48">
        <v>0</v>
      </c>
      <c r="P19" s="44">
        <f t="shared" si="1"/>
        <v>3</v>
      </c>
      <c r="Q19" s="45">
        <f t="shared" si="1"/>
        <v>6</v>
      </c>
      <c r="R19" s="46">
        <f>Q19+P19</f>
        <v>9</v>
      </c>
    </row>
    <row r="20" spans="1:18" ht="11.25" customHeight="1">
      <c r="A20" s="52" t="s">
        <v>60</v>
      </c>
      <c r="B20" s="44">
        <v>1</v>
      </c>
      <c r="C20" s="45">
        <v>3</v>
      </c>
      <c r="D20" s="44">
        <v>0</v>
      </c>
      <c r="E20" s="45">
        <v>0</v>
      </c>
      <c r="F20" s="44">
        <v>0</v>
      </c>
      <c r="G20" s="45">
        <v>0</v>
      </c>
      <c r="H20" s="44">
        <v>0</v>
      </c>
      <c r="I20" s="45">
        <v>0</v>
      </c>
      <c r="J20" s="44">
        <v>0</v>
      </c>
      <c r="K20" s="45">
        <v>1</v>
      </c>
      <c r="L20" s="44">
        <v>3</v>
      </c>
      <c r="M20" s="45">
        <v>1</v>
      </c>
      <c r="N20" s="48">
        <v>0</v>
      </c>
      <c r="O20" s="48">
        <v>0</v>
      </c>
      <c r="P20" s="44">
        <f>L20+J20+H20+F20+D20+B20</f>
        <v>4</v>
      </c>
      <c r="Q20" s="45">
        <f t="shared" si="1"/>
        <v>5</v>
      </c>
      <c r="R20" s="46">
        <f>Q20+P20</f>
        <v>9</v>
      </c>
    </row>
    <row r="21" spans="2:18" ht="9.75" customHeight="1">
      <c r="B21" s="11"/>
      <c r="C21" s="12"/>
      <c r="D21" s="11"/>
      <c r="E21" s="12"/>
      <c r="F21" s="11"/>
      <c r="G21" s="12"/>
      <c r="H21" s="11"/>
      <c r="I21" s="12"/>
      <c r="J21" s="11"/>
      <c r="K21" s="12"/>
      <c r="L21" s="11"/>
      <c r="M21" s="12"/>
      <c r="N21" s="20"/>
      <c r="O21" s="20"/>
      <c r="P21" s="11"/>
      <c r="Q21" s="12"/>
      <c r="R21" s="13"/>
    </row>
    <row r="22" ht="9.75" customHeight="1">
      <c r="A22" s="18"/>
    </row>
    <row r="23" spans="1:18" ht="11.25" customHeight="1">
      <c r="A23"/>
      <c r="B23" s="34" t="s">
        <v>1</v>
      </c>
      <c r="C23" s="35"/>
      <c r="D23" s="34" t="s">
        <v>2</v>
      </c>
      <c r="E23" s="35"/>
      <c r="F23" s="34" t="s">
        <v>3</v>
      </c>
      <c r="G23" s="35"/>
      <c r="H23" s="34" t="s">
        <v>4</v>
      </c>
      <c r="I23" s="35"/>
      <c r="J23" s="34" t="s">
        <v>5</v>
      </c>
      <c r="K23" s="35"/>
      <c r="L23" s="127" t="s">
        <v>6</v>
      </c>
      <c r="M23" s="128"/>
      <c r="N23" s="127" t="s">
        <v>40</v>
      </c>
      <c r="O23" s="128"/>
      <c r="P23" s="34" t="s">
        <v>7</v>
      </c>
      <c r="Q23" s="35"/>
      <c r="R23" s="30" t="s">
        <v>8</v>
      </c>
    </row>
    <row r="24" spans="1:18" ht="11.25" customHeight="1">
      <c r="A24" s="7" t="s">
        <v>62</v>
      </c>
      <c r="B24" s="31" t="s">
        <v>9</v>
      </c>
      <c r="C24" s="32" t="s">
        <v>10</v>
      </c>
      <c r="D24" s="31" t="s">
        <v>9</v>
      </c>
      <c r="E24" s="32" t="s">
        <v>10</v>
      </c>
      <c r="F24" s="31" t="s">
        <v>9</v>
      </c>
      <c r="G24" s="32" t="s">
        <v>10</v>
      </c>
      <c r="H24" s="31" t="s">
        <v>9</v>
      </c>
      <c r="I24" s="32" t="s">
        <v>10</v>
      </c>
      <c r="J24" s="31" t="s">
        <v>9</v>
      </c>
      <c r="K24" s="32" t="s">
        <v>10</v>
      </c>
      <c r="L24" s="31" t="s">
        <v>9</v>
      </c>
      <c r="M24" s="32" t="s">
        <v>10</v>
      </c>
      <c r="N24" s="31" t="s">
        <v>9</v>
      </c>
      <c r="O24" s="32" t="s">
        <v>10</v>
      </c>
      <c r="P24" s="31" t="s">
        <v>9</v>
      </c>
      <c r="Q24" s="32" t="s">
        <v>10</v>
      </c>
      <c r="R24" s="33" t="s">
        <v>7</v>
      </c>
    </row>
    <row r="25" spans="1:18" ht="9.75" customHeight="1">
      <c r="A25"/>
      <c r="B25" s="4"/>
      <c r="C25" s="5"/>
      <c r="D25" s="4"/>
      <c r="E25" s="5"/>
      <c r="F25" s="4"/>
      <c r="G25" s="5"/>
      <c r="H25" s="4"/>
      <c r="I25" s="5"/>
      <c r="J25" s="4"/>
      <c r="K25" s="5"/>
      <c r="L25" s="4"/>
      <c r="M25" s="5"/>
      <c r="N25" s="74"/>
      <c r="O25" s="74"/>
      <c r="P25" s="4"/>
      <c r="Q25" s="5"/>
      <c r="R25" s="10"/>
    </row>
    <row r="26" spans="1:18" ht="11.25" customHeight="1">
      <c r="A26" s="17" t="s">
        <v>43</v>
      </c>
      <c r="B26" s="44">
        <v>1</v>
      </c>
      <c r="C26" s="45">
        <v>0</v>
      </c>
      <c r="D26" s="44">
        <v>0</v>
      </c>
      <c r="E26" s="45">
        <v>0</v>
      </c>
      <c r="F26" s="44">
        <v>0</v>
      </c>
      <c r="G26" s="45">
        <v>0</v>
      </c>
      <c r="H26" s="44">
        <v>0</v>
      </c>
      <c r="I26" s="45">
        <v>0</v>
      </c>
      <c r="J26" s="44">
        <v>0</v>
      </c>
      <c r="K26" s="45">
        <v>0</v>
      </c>
      <c r="L26" s="44">
        <v>2</v>
      </c>
      <c r="M26" s="45">
        <v>0</v>
      </c>
      <c r="N26" s="48">
        <v>0</v>
      </c>
      <c r="O26" s="48">
        <v>0</v>
      </c>
      <c r="P26" s="44">
        <f aca="true" t="shared" si="2" ref="P26:Q30">L26+J26+H26+F26+D26+B26</f>
        <v>3</v>
      </c>
      <c r="Q26" s="45">
        <f t="shared" si="2"/>
        <v>0</v>
      </c>
      <c r="R26" s="46">
        <f>Q26+P26</f>
        <v>3</v>
      </c>
    </row>
    <row r="27" spans="1:18" ht="11.25" customHeight="1">
      <c r="A27" s="52" t="s">
        <v>46</v>
      </c>
      <c r="B27" s="44">
        <v>0</v>
      </c>
      <c r="C27" s="45">
        <v>0</v>
      </c>
      <c r="D27" s="44">
        <v>0</v>
      </c>
      <c r="E27" s="45">
        <v>0</v>
      </c>
      <c r="F27" s="44">
        <v>0</v>
      </c>
      <c r="G27" s="45">
        <v>0</v>
      </c>
      <c r="H27" s="44">
        <v>0</v>
      </c>
      <c r="I27" s="45">
        <v>0</v>
      </c>
      <c r="J27" s="44">
        <v>0</v>
      </c>
      <c r="K27" s="45">
        <v>0</v>
      </c>
      <c r="L27" s="44">
        <v>1</v>
      </c>
      <c r="M27" s="45">
        <v>2</v>
      </c>
      <c r="N27" s="48">
        <v>0</v>
      </c>
      <c r="O27" s="48">
        <v>0</v>
      </c>
      <c r="P27" s="44">
        <f t="shared" si="2"/>
        <v>1</v>
      </c>
      <c r="Q27" s="45">
        <f t="shared" si="2"/>
        <v>2</v>
      </c>
      <c r="R27" s="46">
        <f>Q27+P27</f>
        <v>3</v>
      </c>
    </row>
    <row r="28" spans="1:18" ht="11.25" customHeight="1">
      <c r="A28" s="52" t="s">
        <v>49</v>
      </c>
      <c r="B28" s="44">
        <v>0</v>
      </c>
      <c r="C28" s="45">
        <v>0</v>
      </c>
      <c r="D28" s="44">
        <v>0</v>
      </c>
      <c r="E28" s="45">
        <v>0</v>
      </c>
      <c r="F28" s="44">
        <v>0</v>
      </c>
      <c r="G28" s="45">
        <v>0</v>
      </c>
      <c r="H28" s="44">
        <v>0</v>
      </c>
      <c r="I28" s="45">
        <v>0</v>
      </c>
      <c r="J28" s="44">
        <v>0</v>
      </c>
      <c r="K28" s="45">
        <v>0</v>
      </c>
      <c r="L28" s="44">
        <v>0</v>
      </c>
      <c r="M28" s="45">
        <v>0</v>
      </c>
      <c r="N28" s="48">
        <v>0</v>
      </c>
      <c r="O28" s="48">
        <v>0</v>
      </c>
      <c r="P28" s="44">
        <f t="shared" si="2"/>
        <v>0</v>
      </c>
      <c r="Q28" s="45">
        <f t="shared" si="2"/>
        <v>0</v>
      </c>
      <c r="R28" s="46">
        <f>Q28+P28</f>
        <v>0</v>
      </c>
    </row>
    <row r="29" spans="1:18" ht="11.25" customHeight="1">
      <c r="A29" s="52" t="s">
        <v>58</v>
      </c>
      <c r="B29" s="44">
        <v>2</v>
      </c>
      <c r="C29" s="45">
        <v>0</v>
      </c>
      <c r="D29" s="44">
        <v>0</v>
      </c>
      <c r="E29" s="45">
        <v>0</v>
      </c>
      <c r="F29" s="44">
        <v>0</v>
      </c>
      <c r="G29" s="45">
        <v>0</v>
      </c>
      <c r="H29" s="44">
        <v>0</v>
      </c>
      <c r="I29" s="45">
        <v>0</v>
      </c>
      <c r="J29" s="44">
        <v>0</v>
      </c>
      <c r="K29" s="45">
        <v>0</v>
      </c>
      <c r="L29" s="44">
        <v>0</v>
      </c>
      <c r="M29" s="45">
        <v>0</v>
      </c>
      <c r="N29" s="48">
        <v>0</v>
      </c>
      <c r="O29" s="48">
        <v>0</v>
      </c>
      <c r="P29" s="44">
        <f t="shared" si="2"/>
        <v>2</v>
      </c>
      <c r="Q29" s="45">
        <f t="shared" si="2"/>
        <v>0</v>
      </c>
      <c r="R29" s="46">
        <f>Q29+P29</f>
        <v>2</v>
      </c>
    </row>
    <row r="30" spans="1:18" ht="11.25" customHeight="1">
      <c r="A30" s="52" t="s">
        <v>60</v>
      </c>
      <c r="B30" s="44">
        <v>2</v>
      </c>
      <c r="C30" s="45">
        <v>1</v>
      </c>
      <c r="D30" s="44">
        <v>0</v>
      </c>
      <c r="E30" s="45">
        <v>0</v>
      </c>
      <c r="F30" s="44">
        <v>0</v>
      </c>
      <c r="G30" s="45">
        <v>0</v>
      </c>
      <c r="H30" s="44">
        <v>0</v>
      </c>
      <c r="I30" s="45">
        <v>0</v>
      </c>
      <c r="J30" s="44">
        <v>0</v>
      </c>
      <c r="K30" s="45">
        <v>0</v>
      </c>
      <c r="L30" s="44">
        <v>0</v>
      </c>
      <c r="M30" s="45">
        <v>0</v>
      </c>
      <c r="N30" s="48">
        <v>0</v>
      </c>
      <c r="O30" s="48">
        <v>0</v>
      </c>
      <c r="P30" s="44">
        <f t="shared" si="2"/>
        <v>2</v>
      </c>
      <c r="Q30" s="45">
        <f t="shared" si="2"/>
        <v>1</v>
      </c>
      <c r="R30" s="46">
        <f>Q30+P30</f>
        <v>3</v>
      </c>
    </row>
    <row r="31" spans="2:18" ht="9.75" customHeight="1">
      <c r="B31" s="11"/>
      <c r="C31" s="12"/>
      <c r="D31" s="11"/>
      <c r="E31" s="12"/>
      <c r="F31" s="11"/>
      <c r="G31" s="12"/>
      <c r="H31" s="11"/>
      <c r="I31" s="12"/>
      <c r="J31" s="11"/>
      <c r="K31" s="12"/>
      <c r="L31" s="11"/>
      <c r="M31" s="12"/>
      <c r="N31" s="20"/>
      <c r="O31" s="20"/>
      <c r="P31" s="11"/>
      <c r="Q31" s="12"/>
      <c r="R31" s="13"/>
    </row>
    <row r="32" spans="2:18" ht="9.75" customHeight="1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</row>
    <row r="33" ht="11.25" customHeight="1">
      <c r="A33" s="7" t="s">
        <v>17</v>
      </c>
    </row>
    <row r="34" spans="1:18" ht="11.25" customHeight="1">
      <c r="A34" s="7" t="s">
        <v>12</v>
      </c>
      <c r="B34" s="34" t="s">
        <v>1</v>
      </c>
      <c r="C34" s="35"/>
      <c r="D34" s="34" t="s">
        <v>2</v>
      </c>
      <c r="E34" s="35"/>
      <c r="F34" s="34" t="s">
        <v>3</v>
      </c>
      <c r="G34" s="35"/>
      <c r="H34" s="34" t="s">
        <v>4</v>
      </c>
      <c r="I34" s="35"/>
      <c r="J34" s="34" t="s">
        <v>5</v>
      </c>
      <c r="K34" s="35"/>
      <c r="L34" s="127" t="s">
        <v>6</v>
      </c>
      <c r="M34" s="128"/>
      <c r="N34" s="127" t="s">
        <v>40</v>
      </c>
      <c r="O34" s="128"/>
      <c r="P34" s="34" t="s">
        <v>7</v>
      </c>
      <c r="Q34" s="35"/>
      <c r="R34" s="30" t="s">
        <v>8</v>
      </c>
    </row>
    <row r="35" spans="1:18" ht="11.25" customHeight="1">
      <c r="A35" s="7" t="s">
        <v>13</v>
      </c>
      <c r="B35" s="31" t="s">
        <v>9</v>
      </c>
      <c r="C35" s="32" t="s">
        <v>10</v>
      </c>
      <c r="D35" s="31" t="s">
        <v>9</v>
      </c>
      <c r="E35" s="32" t="s">
        <v>10</v>
      </c>
      <c r="F35" s="31" t="s">
        <v>9</v>
      </c>
      <c r="G35" s="32" t="s">
        <v>10</v>
      </c>
      <c r="H35" s="31" t="s">
        <v>9</v>
      </c>
      <c r="I35" s="32" t="s">
        <v>10</v>
      </c>
      <c r="J35" s="31" t="s">
        <v>9</v>
      </c>
      <c r="K35" s="32" t="s">
        <v>10</v>
      </c>
      <c r="L35" s="31" t="s">
        <v>9</v>
      </c>
      <c r="M35" s="32" t="s">
        <v>10</v>
      </c>
      <c r="N35" s="31" t="s">
        <v>9</v>
      </c>
      <c r="O35" s="32" t="s">
        <v>10</v>
      </c>
      <c r="P35" s="31" t="s">
        <v>9</v>
      </c>
      <c r="Q35" s="32" t="s">
        <v>10</v>
      </c>
      <c r="R35" s="33" t="s">
        <v>7</v>
      </c>
    </row>
    <row r="36" spans="1:18" ht="9.75" customHeight="1">
      <c r="A36" s="7"/>
      <c r="B36" s="14"/>
      <c r="C36" s="15"/>
      <c r="D36" s="14"/>
      <c r="E36" s="15"/>
      <c r="F36" s="14"/>
      <c r="G36" s="15"/>
      <c r="H36" s="14"/>
      <c r="I36" s="15"/>
      <c r="J36" s="14"/>
      <c r="K36" s="15"/>
      <c r="L36" s="14"/>
      <c r="M36" s="15"/>
      <c r="N36" s="53"/>
      <c r="O36" s="53"/>
      <c r="P36" s="14"/>
      <c r="Q36" s="15"/>
      <c r="R36" s="16"/>
    </row>
    <row r="37" spans="1:18" s="2" customFormat="1" ht="11.25" customHeight="1">
      <c r="A37" s="17" t="s">
        <v>43</v>
      </c>
      <c r="B37" s="44">
        <v>46</v>
      </c>
      <c r="C37" s="45">
        <v>14</v>
      </c>
      <c r="D37" s="44">
        <v>0</v>
      </c>
      <c r="E37" s="45">
        <v>0</v>
      </c>
      <c r="F37" s="44">
        <v>1</v>
      </c>
      <c r="G37" s="45">
        <v>0</v>
      </c>
      <c r="H37" s="44">
        <v>0</v>
      </c>
      <c r="I37" s="45">
        <v>0</v>
      </c>
      <c r="J37" s="44">
        <v>0</v>
      </c>
      <c r="K37" s="45">
        <v>0</v>
      </c>
      <c r="L37" s="44">
        <v>5</v>
      </c>
      <c r="M37" s="45">
        <v>0</v>
      </c>
      <c r="N37" s="48">
        <v>0</v>
      </c>
      <c r="O37" s="48">
        <v>0</v>
      </c>
      <c r="P37" s="44">
        <f aca="true" t="shared" si="3" ref="P37:Q41">L37+J37+H37+F37+D37+B37+N37</f>
        <v>52</v>
      </c>
      <c r="Q37" s="45">
        <f t="shared" si="3"/>
        <v>14</v>
      </c>
      <c r="R37" s="46">
        <f>Q37+P37</f>
        <v>66</v>
      </c>
    </row>
    <row r="38" spans="1:18" s="2" customFormat="1" ht="11.25" customHeight="1">
      <c r="A38" s="52" t="s">
        <v>46</v>
      </c>
      <c r="B38" s="44">
        <v>49</v>
      </c>
      <c r="C38" s="45">
        <v>23</v>
      </c>
      <c r="D38" s="44">
        <v>0</v>
      </c>
      <c r="E38" s="45">
        <v>0</v>
      </c>
      <c r="F38" s="44">
        <v>1</v>
      </c>
      <c r="G38" s="45">
        <v>0</v>
      </c>
      <c r="H38" s="44">
        <v>1</v>
      </c>
      <c r="I38" s="45">
        <v>0</v>
      </c>
      <c r="J38" s="44">
        <v>1</v>
      </c>
      <c r="K38" s="45">
        <v>0</v>
      </c>
      <c r="L38" s="44">
        <v>7</v>
      </c>
      <c r="M38" s="45">
        <v>0</v>
      </c>
      <c r="N38" s="48">
        <v>0</v>
      </c>
      <c r="O38" s="48">
        <v>0</v>
      </c>
      <c r="P38" s="44">
        <f t="shared" si="3"/>
        <v>59</v>
      </c>
      <c r="Q38" s="45">
        <f t="shared" si="3"/>
        <v>23</v>
      </c>
      <c r="R38" s="46">
        <f>Q38+P38</f>
        <v>82</v>
      </c>
    </row>
    <row r="39" spans="1:18" s="2" customFormat="1" ht="11.25" customHeight="1">
      <c r="A39" s="52" t="s">
        <v>49</v>
      </c>
      <c r="B39" s="44">
        <v>55</v>
      </c>
      <c r="C39" s="45">
        <v>17</v>
      </c>
      <c r="D39" s="44">
        <v>1</v>
      </c>
      <c r="E39" s="45">
        <v>1</v>
      </c>
      <c r="F39" s="44">
        <v>2</v>
      </c>
      <c r="G39" s="45">
        <v>0</v>
      </c>
      <c r="H39" s="44">
        <v>2</v>
      </c>
      <c r="I39" s="45">
        <v>0</v>
      </c>
      <c r="J39" s="44">
        <v>1</v>
      </c>
      <c r="K39" s="45">
        <v>1</v>
      </c>
      <c r="L39" s="44">
        <v>5</v>
      </c>
      <c r="M39" s="45">
        <v>1</v>
      </c>
      <c r="N39" s="48">
        <v>0</v>
      </c>
      <c r="O39" s="48">
        <v>0</v>
      </c>
      <c r="P39" s="44">
        <f t="shared" si="3"/>
        <v>66</v>
      </c>
      <c r="Q39" s="45">
        <f t="shared" si="3"/>
        <v>20</v>
      </c>
      <c r="R39" s="46">
        <f>Q39+P39</f>
        <v>86</v>
      </c>
    </row>
    <row r="40" spans="1:18" s="2" customFormat="1" ht="11.25" customHeight="1">
      <c r="A40" s="52" t="s">
        <v>58</v>
      </c>
      <c r="B40" s="44">
        <v>59</v>
      </c>
      <c r="C40" s="45">
        <v>25</v>
      </c>
      <c r="D40" s="44">
        <v>1</v>
      </c>
      <c r="E40" s="45">
        <v>2</v>
      </c>
      <c r="F40" s="44">
        <v>2</v>
      </c>
      <c r="G40" s="45">
        <v>0</v>
      </c>
      <c r="H40" s="44">
        <v>2</v>
      </c>
      <c r="I40" s="45">
        <v>0</v>
      </c>
      <c r="J40" s="44">
        <v>1</v>
      </c>
      <c r="K40" s="45">
        <v>1</v>
      </c>
      <c r="L40" s="44">
        <v>4</v>
      </c>
      <c r="M40" s="45">
        <v>1</v>
      </c>
      <c r="N40" s="48">
        <v>0</v>
      </c>
      <c r="O40" s="48">
        <v>1</v>
      </c>
      <c r="P40" s="44">
        <f t="shared" si="3"/>
        <v>69</v>
      </c>
      <c r="Q40" s="45">
        <f t="shared" si="3"/>
        <v>30</v>
      </c>
      <c r="R40" s="46">
        <f>Q40+P40</f>
        <v>99</v>
      </c>
    </row>
    <row r="41" spans="1:18" s="2" customFormat="1" ht="11.25" customHeight="1">
      <c r="A41" s="52" t="s">
        <v>60</v>
      </c>
      <c r="B41" s="44">
        <v>56</v>
      </c>
      <c r="C41" s="45">
        <v>29</v>
      </c>
      <c r="D41" s="44">
        <v>2</v>
      </c>
      <c r="E41" s="45">
        <v>2</v>
      </c>
      <c r="F41" s="44">
        <v>2</v>
      </c>
      <c r="G41" s="45">
        <v>0</v>
      </c>
      <c r="H41" s="44">
        <v>2</v>
      </c>
      <c r="I41" s="45">
        <v>1</v>
      </c>
      <c r="J41" s="44">
        <v>4</v>
      </c>
      <c r="K41" s="45">
        <v>0</v>
      </c>
      <c r="L41" s="44">
        <v>6</v>
      </c>
      <c r="M41" s="45">
        <v>1</v>
      </c>
      <c r="N41" s="48">
        <v>1</v>
      </c>
      <c r="O41" s="48">
        <v>0</v>
      </c>
      <c r="P41" s="44">
        <f t="shared" si="3"/>
        <v>73</v>
      </c>
      <c r="Q41" s="45">
        <f t="shared" si="3"/>
        <v>33</v>
      </c>
      <c r="R41" s="46">
        <f>Q41+P41</f>
        <v>106</v>
      </c>
    </row>
    <row r="42" spans="2:18" ht="9.75" customHeight="1">
      <c r="B42" s="11"/>
      <c r="C42" s="12"/>
      <c r="D42" s="11"/>
      <c r="E42" s="12"/>
      <c r="F42" s="11"/>
      <c r="G42" s="12"/>
      <c r="H42" s="11"/>
      <c r="I42" s="12"/>
      <c r="J42" s="11"/>
      <c r="K42" s="12"/>
      <c r="L42" s="11"/>
      <c r="M42" s="12"/>
      <c r="N42" s="20"/>
      <c r="O42" s="20"/>
      <c r="P42" s="11"/>
      <c r="Q42" s="12"/>
      <c r="R42" s="13"/>
    </row>
    <row r="43" ht="9.75" customHeight="1"/>
    <row r="44" ht="11.25" customHeight="1">
      <c r="A44" s="7" t="s">
        <v>11</v>
      </c>
    </row>
    <row r="45" spans="1:18" ht="11.25" customHeight="1">
      <c r="A45" s="7" t="s">
        <v>12</v>
      </c>
      <c r="B45" s="34" t="s">
        <v>1</v>
      </c>
      <c r="C45" s="35"/>
      <c r="D45" s="34" t="s">
        <v>2</v>
      </c>
      <c r="E45" s="35"/>
      <c r="F45" s="34" t="s">
        <v>3</v>
      </c>
      <c r="G45" s="35"/>
      <c r="H45" s="34" t="s">
        <v>4</v>
      </c>
      <c r="I45" s="35"/>
      <c r="J45" s="34" t="s">
        <v>5</v>
      </c>
      <c r="K45" s="35"/>
      <c r="L45" s="127" t="s">
        <v>6</v>
      </c>
      <c r="M45" s="128"/>
      <c r="N45" s="127" t="s">
        <v>40</v>
      </c>
      <c r="O45" s="128"/>
      <c r="P45" s="34" t="s">
        <v>7</v>
      </c>
      <c r="Q45" s="35"/>
      <c r="R45" s="30" t="s">
        <v>8</v>
      </c>
    </row>
    <row r="46" spans="1:18" ht="11.25" customHeight="1">
      <c r="A46" s="7" t="s">
        <v>13</v>
      </c>
      <c r="B46" s="31" t="s">
        <v>9</v>
      </c>
      <c r="C46" s="32" t="s">
        <v>10</v>
      </c>
      <c r="D46" s="31" t="s">
        <v>9</v>
      </c>
      <c r="E46" s="32" t="s">
        <v>10</v>
      </c>
      <c r="F46" s="31" t="s">
        <v>9</v>
      </c>
      <c r="G46" s="32" t="s">
        <v>10</v>
      </c>
      <c r="H46" s="31" t="s">
        <v>9</v>
      </c>
      <c r="I46" s="32" t="s">
        <v>10</v>
      </c>
      <c r="J46" s="31" t="s">
        <v>9</v>
      </c>
      <c r="K46" s="32" t="s">
        <v>10</v>
      </c>
      <c r="L46" s="31" t="s">
        <v>9</v>
      </c>
      <c r="M46" s="32" t="s">
        <v>10</v>
      </c>
      <c r="N46" s="31" t="s">
        <v>9</v>
      </c>
      <c r="O46" s="32" t="s">
        <v>10</v>
      </c>
      <c r="P46" s="31" t="s">
        <v>9</v>
      </c>
      <c r="Q46" s="32" t="s">
        <v>10</v>
      </c>
      <c r="R46" s="33" t="s">
        <v>7</v>
      </c>
    </row>
    <row r="47" spans="1:18" ht="9.75" customHeight="1">
      <c r="A47" s="7"/>
      <c r="B47" s="14"/>
      <c r="C47" s="15"/>
      <c r="D47" s="14"/>
      <c r="E47" s="15"/>
      <c r="F47" s="14"/>
      <c r="G47" s="15"/>
      <c r="H47" s="14"/>
      <c r="I47" s="15"/>
      <c r="J47" s="14"/>
      <c r="K47" s="15"/>
      <c r="L47" s="14"/>
      <c r="M47" s="15"/>
      <c r="N47" s="53"/>
      <c r="O47" s="53"/>
      <c r="P47" s="14"/>
      <c r="Q47" s="15"/>
      <c r="R47" s="16"/>
    </row>
    <row r="48" spans="1:18" s="2" customFormat="1" ht="11.25" customHeight="1">
      <c r="A48" s="17" t="s">
        <v>43</v>
      </c>
      <c r="B48" s="44">
        <v>24</v>
      </c>
      <c r="C48" s="48">
        <v>6</v>
      </c>
      <c r="D48" s="44">
        <v>1</v>
      </c>
      <c r="E48" s="48">
        <v>0</v>
      </c>
      <c r="F48" s="44">
        <v>0</v>
      </c>
      <c r="G48" s="48">
        <v>0</v>
      </c>
      <c r="H48" s="44">
        <v>0</v>
      </c>
      <c r="I48" s="48">
        <v>0</v>
      </c>
      <c r="J48" s="44">
        <v>0</v>
      </c>
      <c r="K48" s="48">
        <v>1</v>
      </c>
      <c r="L48" s="44">
        <v>6</v>
      </c>
      <c r="M48" s="48">
        <v>4</v>
      </c>
      <c r="N48" s="44">
        <v>0</v>
      </c>
      <c r="O48" s="48">
        <v>0</v>
      </c>
      <c r="P48" s="44">
        <f aca="true" t="shared" si="4" ref="P48:Q52">L48+J48+H48+F48+D48+B48</f>
        <v>31</v>
      </c>
      <c r="Q48" s="48">
        <f t="shared" si="4"/>
        <v>11</v>
      </c>
      <c r="R48" s="46">
        <f>Q48+P48</f>
        <v>42</v>
      </c>
    </row>
    <row r="49" spans="1:18" s="2" customFormat="1" ht="11.25" customHeight="1">
      <c r="A49" s="52" t="s">
        <v>46</v>
      </c>
      <c r="B49" s="44">
        <v>20</v>
      </c>
      <c r="C49" s="48">
        <v>5</v>
      </c>
      <c r="D49" s="44">
        <v>0</v>
      </c>
      <c r="E49" s="48">
        <v>0</v>
      </c>
      <c r="F49" s="44">
        <v>0</v>
      </c>
      <c r="G49" s="48">
        <v>0</v>
      </c>
      <c r="H49" s="44">
        <v>0</v>
      </c>
      <c r="I49" s="48">
        <v>0</v>
      </c>
      <c r="J49" s="44">
        <v>0</v>
      </c>
      <c r="K49" s="48">
        <v>1</v>
      </c>
      <c r="L49" s="44">
        <v>6</v>
      </c>
      <c r="M49" s="48">
        <v>3</v>
      </c>
      <c r="N49" s="44">
        <v>0</v>
      </c>
      <c r="O49" s="48">
        <v>0</v>
      </c>
      <c r="P49" s="44">
        <f t="shared" si="4"/>
        <v>26</v>
      </c>
      <c r="Q49" s="48">
        <f t="shared" si="4"/>
        <v>9</v>
      </c>
      <c r="R49" s="46">
        <f>Q49+P49</f>
        <v>35</v>
      </c>
    </row>
    <row r="50" spans="1:18" s="2" customFormat="1" ht="11.25" customHeight="1">
      <c r="A50" s="52" t="s">
        <v>49</v>
      </c>
      <c r="B50" s="44">
        <v>21</v>
      </c>
      <c r="C50" s="48">
        <v>7</v>
      </c>
      <c r="D50" s="44">
        <v>0</v>
      </c>
      <c r="E50" s="48">
        <v>0</v>
      </c>
      <c r="F50" s="44">
        <v>0</v>
      </c>
      <c r="G50" s="48">
        <v>0</v>
      </c>
      <c r="H50" s="44">
        <v>0</v>
      </c>
      <c r="I50" s="48">
        <v>0</v>
      </c>
      <c r="J50" s="44">
        <v>0</v>
      </c>
      <c r="K50" s="48">
        <v>0</v>
      </c>
      <c r="L50" s="44">
        <v>6</v>
      </c>
      <c r="M50" s="48">
        <v>4</v>
      </c>
      <c r="N50" s="44">
        <v>0</v>
      </c>
      <c r="O50" s="48">
        <v>0</v>
      </c>
      <c r="P50" s="44">
        <f t="shared" si="4"/>
        <v>27</v>
      </c>
      <c r="Q50" s="48">
        <f t="shared" si="4"/>
        <v>11</v>
      </c>
      <c r="R50" s="46">
        <f>Q50+P50</f>
        <v>38</v>
      </c>
    </row>
    <row r="51" spans="1:18" s="2" customFormat="1" ht="11.25" customHeight="1">
      <c r="A51" s="52" t="s">
        <v>58</v>
      </c>
      <c r="B51" s="44">
        <v>19</v>
      </c>
      <c r="C51" s="48">
        <v>10</v>
      </c>
      <c r="D51" s="44">
        <v>0</v>
      </c>
      <c r="E51" s="48">
        <v>0</v>
      </c>
      <c r="F51" s="44">
        <v>0</v>
      </c>
      <c r="G51" s="48">
        <v>0</v>
      </c>
      <c r="H51" s="44">
        <v>0</v>
      </c>
      <c r="I51" s="48">
        <v>0</v>
      </c>
      <c r="J51" s="44">
        <v>0</v>
      </c>
      <c r="K51" s="48">
        <v>0</v>
      </c>
      <c r="L51" s="44">
        <v>5</v>
      </c>
      <c r="M51" s="48">
        <v>6</v>
      </c>
      <c r="N51" s="44">
        <v>0</v>
      </c>
      <c r="O51" s="48">
        <v>0</v>
      </c>
      <c r="P51" s="44">
        <f t="shared" si="4"/>
        <v>24</v>
      </c>
      <c r="Q51" s="48">
        <f t="shared" si="4"/>
        <v>16</v>
      </c>
      <c r="R51" s="46">
        <f>Q51+P51</f>
        <v>40</v>
      </c>
    </row>
    <row r="52" spans="1:18" s="2" customFormat="1" ht="11.25" customHeight="1">
      <c r="A52" s="52" t="s">
        <v>60</v>
      </c>
      <c r="B52" s="44">
        <v>22</v>
      </c>
      <c r="C52" s="48">
        <v>8</v>
      </c>
      <c r="D52" s="44">
        <v>0</v>
      </c>
      <c r="E52" s="48">
        <v>0</v>
      </c>
      <c r="F52" s="44">
        <v>0</v>
      </c>
      <c r="G52" s="48">
        <v>0</v>
      </c>
      <c r="H52" s="44">
        <v>1</v>
      </c>
      <c r="I52" s="48">
        <v>0</v>
      </c>
      <c r="J52" s="44">
        <v>0</v>
      </c>
      <c r="K52" s="48">
        <v>2</v>
      </c>
      <c r="L52" s="44">
        <v>3</v>
      </c>
      <c r="M52" s="48">
        <v>5</v>
      </c>
      <c r="N52" s="44">
        <v>0</v>
      </c>
      <c r="O52" s="48">
        <v>0</v>
      </c>
      <c r="P52" s="44">
        <f t="shared" si="4"/>
        <v>26</v>
      </c>
      <c r="Q52" s="48">
        <f t="shared" si="4"/>
        <v>15</v>
      </c>
      <c r="R52" s="46">
        <f>Q52+P52</f>
        <v>41</v>
      </c>
    </row>
    <row r="53" spans="2:18" ht="9.75" customHeight="1">
      <c r="B53" s="11"/>
      <c r="C53" s="20"/>
      <c r="D53" s="11"/>
      <c r="E53" s="20"/>
      <c r="F53" s="11"/>
      <c r="G53" s="20"/>
      <c r="H53" s="11"/>
      <c r="I53" s="20"/>
      <c r="J53" s="11"/>
      <c r="K53" s="20"/>
      <c r="L53" s="11"/>
      <c r="M53" s="20"/>
      <c r="N53" s="11"/>
      <c r="O53" s="20"/>
      <c r="P53" s="11"/>
      <c r="Q53" s="20"/>
      <c r="R53" s="13"/>
    </row>
    <row r="55" ht="11.25" customHeight="1">
      <c r="A55" s="38"/>
    </row>
    <row r="56" ht="11.25" customHeight="1">
      <c r="A56" s="27"/>
    </row>
  </sheetData>
  <mergeCells count="10">
    <mergeCell ref="N13:O13"/>
    <mergeCell ref="N3:O3"/>
    <mergeCell ref="L45:M45"/>
    <mergeCell ref="N45:O45"/>
    <mergeCell ref="N34:O34"/>
    <mergeCell ref="N23:O23"/>
    <mergeCell ref="L3:M3"/>
    <mergeCell ref="L13:M13"/>
    <mergeCell ref="L23:M23"/>
    <mergeCell ref="L34:M34"/>
  </mergeCells>
  <printOptions/>
  <pageMargins left="1" right="0.25" top="1" bottom="0.75" header="0.5" footer="0.25"/>
  <pageSetup fitToHeight="1" fitToWidth="1" horizontalDpi="300" verticalDpi="300" orientation="landscape" scale="82" r:id="rId3"/>
  <headerFooter alignWithMargins="0">
    <oddHeader>&amp;CThe University of Alabama in Huntsville
Unit Academic Reports 
</oddHeader>
    <oddFooter>&amp;L&amp;8Office of Institutional Research
&amp;D (np)
&amp;F</oddFooter>
  </headerFooter>
  <legacyDrawing r:id="rId2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1"/>
  <sheetViews>
    <sheetView workbookViewId="0" topLeftCell="A1">
      <selection activeCell="A2" sqref="A2"/>
    </sheetView>
  </sheetViews>
  <sheetFormatPr defaultColWidth="9.140625" defaultRowHeight="12.75" customHeight="1"/>
  <cols>
    <col min="1" max="1" width="25.7109375" style="27" customWidth="1"/>
    <col min="2" max="8" width="14.7109375" style="3" customWidth="1"/>
    <col min="9" max="16384" width="9.140625" style="3" customWidth="1"/>
  </cols>
  <sheetData>
    <row r="1" spans="1:8" ht="12.75" customHeight="1">
      <c r="A1" s="1" t="s">
        <v>32</v>
      </c>
      <c r="B1" s="2"/>
      <c r="C1" s="2"/>
      <c r="D1" s="2"/>
      <c r="E1" s="2"/>
      <c r="F1"/>
      <c r="G1"/>
      <c r="H1"/>
    </row>
    <row r="2" spans="1:8" ht="12.75" customHeight="1">
      <c r="A2" s="1"/>
      <c r="B2" s="2"/>
      <c r="C2" s="2"/>
      <c r="D2" s="2"/>
      <c r="E2" s="2"/>
      <c r="F2"/>
      <c r="G2"/>
      <c r="H2"/>
    </row>
    <row r="3" spans="1:8" ht="12.75" customHeight="1">
      <c r="A3" s="26" t="s">
        <v>17</v>
      </c>
      <c r="B3" s="2"/>
      <c r="C3" s="2"/>
      <c r="D3" s="2"/>
      <c r="E3" s="2"/>
      <c r="F3"/>
      <c r="G3"/>
      <c r="H3"/>
    </row>
    <row r="4" spans="1:7" s="27" customFormat="1" ht="12.75" customHeight="1">
      <c r="A4" s="7" t="s">
        <v>12</v>
      </c>
      <c r="B4" s="37" t="s">
        <v>16</v>
      </c>
      <c r="C4" s="37" t="s">
        <v>14</v>
      </c>
      <c r="D4" s="37" t="s">
        <v>15</v>
      </c>
      <c r="E4" s="28"/>
      <c r="F4" s="28"/>
      <c r="G4" s="28"/>
    </row>
    <row r="5" spans="2:7" ht="12.75" customHeight="1">
      <c r="B5" s="10"/>
      <c r="C5" s="10"/>
      <c r="D5" s="10"/>
      <c r="E5"/>
      <c r="F5"/>
      <c r="G5"/>
    </row>
    <row r="6" spans="1:7" s="2" customFormat="1" ht="12.75" customHeight="1">
      <c r="A6" s="7" t="s">
        <v>43</v>
      </c>
      <c r="B6" s="16">
        <v>33</v>
      </c>
      <c r="C6" s="16">
        <f>PH!R37</f>
        <v>66</v>
      </c>
      <c r="D6" s="16">
        <v>65</v>
      </c>
      <c r="E6" s="25"/>
      <c r="F6" s="25"/>
      <c r="G6" s="25"/>
    </row>
    <row r="7" spans="1:7" s="2" customFormat="1" ht="12.75" customHeight="1">
      <c r="A7" s="52" t="s">
        <v>46</v>
      </c>
      <c r="B7" s="16">
        <v>34</v>
      </c>
      <c r="C7" s="16">
        <f>PH!R38</f>
        <v>82</v>
      </c>
      <c r="D7" s="16">
        <v>74</v>
      </c>
      <c r="E7" s="25"/>
      <c r="F7" s="25"/>
      <c r="G7" s="25"/>
    </row>
    <row r="8" spans="1:7" s="2" customFormat="1" ht="12.75" customHeight="1">
      <c r="A8" s="52" t="s">
        <v>49</v>
      </c>
      <c r="B8" s="16">
        <v>38</v>
      </c>
      <c r="C8" s="16">
        <f>PH!R39</f>
        <v>86</v>
      </c>
      <c r="D8" s="16">
        <v>76</v>
      </c>
      <c r="E8" s="25"/>
      <c r="F8" s="25"/>
      <c r="G8" s="25"/>
    </row>
    <row r="9" spans="1:7" s="2" customFormat="1" ht="12.75" customHeight="1">
      <c r="A9" s="52" t="s">
        <v>58</v>
      </c>
      <c r="B9" s="16">
        <v>45</v>
      </c>
      <c r="C9" s="16">
        <f>PH!R40</f>
        <v>99</v>
      </c>
      <c r="D9" s="16">
        <v>91</v>
      </c>
      <c r="E9" s="25"/>
      <c r="F9" s="25"/>
      <c r="G9" s="25"/>
    </row>
    <row r="10" spans="1:7" s="2" customFormat="1" ht="12.75" customHeight="1">
      <c r="A10" s="52" t="s">
        <v>60</v>
      </c>
      <c r="B10" s="16">
        <v>43</v>
      </c>
      <c r="C10" s="16">
        <f>PH!R41</f>
        <v>106</v>
      </c>
      <c r="D10" s="16">
        <v>98</v>
      </c>
      <c r="E10" s="25"/>
      <c r="F10" s="25"/>
      <c r="G10" s="25"/>
    </row>
    <row r="11" spans="1:7" ht="12.75" customHeight="1">
      <c r="A11" s="7"/>
      <c r="B11" s="9"/>
      <c r="C11" s="9"/>
      <c r="D11" s="9"/>
      <c r="E11"/>
      <c r="F11"/>
      <c r="G11"/>
    </row>
    <row r="12" spans="1:7" ht="12.75" customHeight="1">
      <c r="A12" s="1"/>
      <c r="B12" s="2"/>
      <c r="C12" s="2"/>
      <c r="D12" s="2"/>
      <c r="E12"/>
      <c r="F12"/>
      <c r="G12"/>
    </row>
    <row r="13" spans="1:7" ht="12.75" customHeight="1">
      <c r="A13" s="7" t="s">
        <v>11</v>
      </c>
      <c r="E13"/>
      <c r="F13"/>
      <c r="G13"/>
    </row>
    <row r="14" spans="1:7" s="27" customFormat="1" ht="12.75" customHeight="1">
      <c r="A14" s="7" t="s">
        <v>12</v>
      </c>
      <c r="B14" s="37" t="s">
        <v>16</v>
      </c>
      <c r="C14" s="37" t="s">
        <v>14</v>
      </c>
      <c r="D14" s="37" t="s">
        <v>15</v>
      </c>
      <c r="E14" s="28"/>
      <c r="F14" s="28"/>
      <c r="G14" s="28"/>
    </row>
    <row r="15" spans="2:7" ht="12.75" customHeight="1">
      <c r="B15" s="10"/>
      <c r="C15" s="10"/>
      <c r="D15" s="10"/>
      <c r="E15"/>
      <c r="F15"/>
      <c r="G15"/>
    </row>
    <row r="16" spans="1:7" s="2" customFormat="1" ht="12.75" customHeight="1">
      <c r="A16" s="7" t="s">
        <v>43</v>
      </c>
      <c r="B16" s="16">
        <v>30</v>
      </c>
      <c r="C16" s="16">
        <f>PH!R48</f>
        <v>42</v>
      </c>
      <c r="D16" s="16">
        <v>35</v>
      </c>
      <c r="E16" s="25"/>
      <c r="F16" s="25"/>
      <c r="G16" s="25"/>
    </row>
    <row r="17" spans="1:7" s="2" customFormat="1" ht="12.75" customHeight="1">
      <c r="A17" s="52" t="s">
        <v>46</v>
      </c>
      <c r="B17" s="16">
        <v>25</v>
      </c>
      <c r="C17" s="16">
        <f>PH!R49</f>
        <v>35</v>
      </c>
      <c r="D17" s="16">
        <v>35</v>
      </c>
      <c r="E17" s="25"/>
      <c r="F17" s="25"/>
      <c r="G17" s="25"/>
    </row>
    <row r="18" spans="1:7" s="2" customFormat="1" ht="12.75" customHeight="1">
      <c r="A18" s="52" t="s">
        <v>49</v>
      </c>
      <c r="B18" s="16">
        <v>21</v>
      </c>
      <c r="C18" s="16">
        <f>PH!R50</f>
        <v>38</v>
      </c>
      <c r="D18" s="16">
        <v>37</v>
      </c>
      <c r="E18" s="25"/>
      <c r="F18" s="25"/>
      <c r="G18" s="25"/>
    </row>
    <row r="19" spans="1:7" s="2" customFormat="1" ht="12.75" customHeight="1">
      <c r="A19" s="52" t="s">
        <v>58</v>
      </c>
      <c r="B19" s="16">
        <v>30</v>
      </c>
      <c r="C19" s="16">
        <f>PH!R51</f>
        <v>40</v>
      </c>
      <c r="D19" s="16">
        <v>38</v>
      </c>
      <c r="E19" s="25"/>
      <c r="F19" s="25"/>
      <c r="G19" s="25"/>
    </row>
    <row r="20" spans="1:7" s="2" customFormat="1" ht="12.75" customHeight="1">
      <c r="A20" s="52" t="s">
        <v>60</v>
      </c>
      <c r="B20" s="16">
        <v>22</v>
      </c>
      <c r="C20" s="16">
        <f>PH!R52</f>
        <v>41</v>
      </c>
      <c r="D20" s="16">
        <v>38</v>
      </c>
      <c r="E20" s="25"/>
      <c r="F20" s="25"/>
      <c r="G20" s="25"/>
    </row>
    <row r="21" spans="1:7" ht="12.75" customHeight="1">
      <c r="A21" s="7"/>
      <c r="B21" s="9"/>
      <c r="C21" s="9"/>
      <c r="D21" s="9"/>
      <c r="E21"/>
      <c r="F21"/>
      <c r="G21"/>
    </row>
    <row r="22" ht="12.75" customHeight="1">
      <c r="A22" s="28"/>
    </row>
    <row r="23" spans="1:8" s="38" customFormat="1" ht="12.75" customHeight="1">
      <c r="A23" s="26" t="s">
        <v>48</v>
      </c>
      <c r="B23" s="40" t="s">
        <v>17</v>
      </c>
      <c r="C23" s="40" t="s">
        <v>17</v>
      </c>
      <c r="D23" s="40" t="s">
        <v>7</v>
      </c>
      <c r="E23" s="40" t="s">
        <v>11</v>
      </c>
      <c r="F23" s="40" t="s">
        <v>11</v>
      </c>
      <c r="G23" s="41" t="s">
        <v>7</v>
      </c>
      <c r="H23" s="41" t="s">
        <v>8</v>
      </c>
    </row>
    <row r="24" spans="1:8" s="38" customFormat="1" ht="12.75" customHeight="1">
      <c r="A24" s="26"/>
      <c r="B24" s="42" t="s">
        <v>18</v>
      </c>
      <c r="C24" s="42" t="s">
        <v>19</v>
      </c>
      <c r="D24" s="42" t="s">
        <v>17</v>
      </c>
      <c r="E24" s="42" t="s">
        <v>20</v>
      </c>
      <c r="F24" s="42" t="s">
        <v>21</v>
      </c>
      <c r="G24" s="43" t="s">
        <v>11</v>
      </c>
      <c r="H24" s="43" t="s">
        <v>7</v>
      </c>
    </row>
    <row r="25" spans="2:8" ht="12.75" customHeight="1">
      <c r="B25" s="4"/>
      <c r="C25" s="4"/>
      <c r="D25" s="4"/>
      <c r="E25" s="4"/>
      <c r="F25" s="4"/>
      <c r="G25" s="4"/>
      <c r="H25" s="10"/>
    </row>
    <row r="26" spans="1:8" ht="12.75" customHeight="1">
      <c r="A26" s="7" t="s">
        <v>43</v>
      </c>
      <c r="B26" s="50">
        <v>3905</v>
      </c>
      <c r="C26" s="50">
        <v>364</v>
      </c>
      <c r="D26" s="50">
        <f>C26+B26</f>
        <v>4269</v>
      </c>
      <c r="E26" s="50">
        <v>480</v>
      </c>
      <c r="F26" s="50">
        <v>315</v>
      </c>
      <c r="G26" s="50">
        <f>F26+E26</f>
        <v>795</v>
      </c>
      <c r="H26" s="51">
        <f>G26+D26</f>
        <v>5064</v>
      </c>
    </row>
    <row r="27" spans="1:8" ht="12.75" customHeight="1">
      <c r="A27" s="52" t="s">
        <v>46</v>
      </c>
      <c r="B27" s="50">
        <f>379+1725+1407</f>
        <v>3511</v>
      </c>
      <c r="C27" s="50">
        <f>9+181+289</f>
        <v>479</v>
      </c>
      <c r="D27" s="50">
        <f>C27+B27</f>
        <v>3990</v>
      </c>
      <c r="E27" s="50">
        <f>99+222+210</f>
        <v>531</v>
      </c>
      <c r="F27" s="50">
        <f>57+99+79</f>
        <v>235</v>
      </c>
      <c r="G27" s="50">
        <f>F27+E27</f>
        <v>766</v>
      </c>
      <c r="H27" s="51">
        <f>G27+D27</f>
        <v>4756</v>
      </c>
    </row>
    <row r="28" spans="1:8" ht="12.75" customHeight="1">
      <c r="A28" s="52" t="s">
        <v>49</v>
      </c>
      <c r="B28" s="50">
        <f>389+1768+1646</f>
        <v>3803</v>
      </c>
      <c r="C28" s="50">
        <f>3+236+244</f>
        <v>483</v>
      </c>
      <c r="D28" s="50">
        <f>C28+B28</f>
        <v>4286</v>
      </c>
      <c r="E28" s="50">
        <f>84+300+165</f>
        <v>549</v>
      </c>
      <c r="F28" s="50">
        <f>45+89+116</f>
        <v>250</v>
      </c>
      <c r="G28" s="50">
        <f>F28+E28</f>
        <v>799</v>
      </c>
      <c r="H28" s="51">
        <f>G28+D28</f>
        <v>5085</v>
      </c>
    </row>
    <row r="29" spans="1:8" ht="12.75" customHeight="1">
      <c r="A29" s="52" t="s">
        <v>58</v>
      </c>
      <c r="B29" s="50">
        <v>3858</v>
      </c>
      <c r="C29" s="50">
        <v>516</v>
      </c>
      <c r="D29" s="50">
        <f>C29+B29</f>
        <v>4374</v>
      </c>
      <c r="E29" s="50">
        <v>498</v>
      </c>
      <c r="F29" s="50">
        <v>308</v>
      </c>
      <c r="G29" s="50">
        <f>F29+E29</f>
        <v>806</v>
      </c>
      <c r="H29" s="51">
        <f>G29+D29</f>
        <v>5180</v>
      </c>
    </row>
    <row r="30" spans="1:8" ht="12.75" customHeight="1">
      <c r="A30" s="52" t="s">
        <v>60</v>
      </c>
      <c r="B30" s="50">
        <v>4333</v>
      </c>
      <c r="C30" s="50">
        <v>511</v>
      </c>
      <c r="D30" s="50">
        <f>C30+B30</f>
        <v>4844</v>
      </c>
      <c r="E30" s="50">
        <v>492</v>
      </c>
      <c r="F30" s="50">
        <v>299</v>
      </c>
      <c r="G30" s="50">
        <f>F30+E30</f>
        <v>791</v>
      </c>
      <c r="H30" s="51">
        <f>G30+D30</f>
        <v>5635</v>
      </c>
    </row>
    <row r="31" spans="1:8" ht="12.75" customHeight="1">
      <c r="A31" s="28"/>
      <c r="B31" s="11"/>
      <c r="C31" s="11"/>
      <c r="D31" s="11"/>
      <c r="E31" s="11"/>
      <c r="F31" s="11"/>
      <c r="G31" s="11"/>
      <c r="H31" s="13"/>
    </row>
    <row r="32" spans="6:8" ht="12.75" customHeight="1">
      <c r="F32"/>
      <c r="G32"/>
      <c r="H32"/>
    </row>
    <row r="33" spans="1:8" s="38" customFormat="1" ht="12.75" customHeight="1">
      <c r="A33" s="26" t="s">
        <v>47</v>
      </c>
      <c r="B33" s="40" t="s">
        <v>17</v>
      </c>
      <c r="C33" s="40" t="s">
        <v>17</v>
      </c>
      <c r="D33" s="40" t="s">
        <v>7</v>
      </c>
      <c r="E33" s="40" t="s">
        <v>11</v>
      </c>
      <c r="F33" s="40" t="s">
        <v>22</v>
      </c>
      <c r="G33" s="40" t="s">
        <v>23</v>
      </c>
      <c r="H33" s="41" t="s">
        <v>8</v>
      </c>
    </row>
    <row r="34" spans="2:8" s="38" customFormat="1" ht="12.75" customHeight="1">
      <c r="B34" s="42" t="s">
        <v>18</v>
      </c>
      <c r="C34" s="42" t="s">
        <v>19</v>
      </c>
      <c r="D34" s="42" t="s">
        <v>17</v>
      </c>
      <c r="E34" s="42" t="s">
        <v>20</v>
      </c>
      <c r="F34" s="42" t="s">
        <v>21</v>
      </c>
      <c r="G34" s="42" t="s">
        <v>11</v>
      </c>
      <c r="H34" s="43" t="s">
        <v>7</v>
      </c>
    </row>
    <row r="35" spans="2:8" ht="12.75" customHeight="1">
      <c r="B35" s="14"/>
      <c r="C35" s="14"/>
      <c r="D35" s="14"/>
      <c r="E35" s="14"/>
      <c r="F35" s="14"/>
      <c r="G35" s="14"/>
      <c r="H35" s="16"/>
    </row>
    <row r="36" spans="1:8" ht="12.75" customHeight="1">
      <c r="A36" s="7" t="s">
        <v>43</v>
      </c>
      <c r="B36" s="23">
        <f>SUM(B26*1.1)</f>
        <v>4295.5</v>
      </c>
      <c r="C36" s="23">
        <f>SUM(C26*1.48)</f>
        <v>538.72</v>
      </c>
      <c r="D36" s="23">
        <f>C36+B36</f>
        <v>4834.22</v>
      </c>
      <c r="E36" s="23">
        <f>SUM(E26*5.36)</f>
        <v>2572.8</v>
      </c>
      <c r="F36" s="23">
        <f>SUM(F26*17.6)</f>
        <v>5544</v>
      </c>
      <c r="G36" s="23">
        <f>F36+E36</f>
        <v>8116.8</v>
      </c>
      <c r="H36" s="24">
        <f>G36+D36</f>
        <v>12951.02</v>
      </c>
    </row>
    <row r="37" spans="1:8" ht="12.75" customHeight="1">
      <c r="A37" s="52" t="s">
        <v>46</v>
      </c>
      <c r="B37" s="23">
        <f>SUM(B27*1.1)</f>
        <v>3862.1000000000004</v>
      </c>
      <c r="C37" s="23">
        <f>SUM(C27*1.48)</f>
        <v>708.92</v>
      </c>
      <c r="D37" s="23">
        <f>C37+B37</f>
        <v>4571.02</v>
      </c>
      <c r="E37" s="23">
        <f>SUM(E27*5.36)</f>
        <v>2846.1600000000003</v>
      </c>
      <c r="F37" s="23">
        <f>SUM(F27*17.6)</f>
        <v>4136</v>
      </c>
      <c r="G37" s="23">
        <f>F37+E37</f>
        <v>6982.16</v>
      </c>
      <c r="H37" s="24">
        <f>G37+D37</f>
        <v>11553.18</v>
      </c>
    </row>
    <row r="38" spans="1:8" ht="12.75" customHeight="1">
      <c r="A38" s="52" t="s">
        <v>49</v>
      </c>
      <c r="B38" s="23">
        <f>SUM(B28*1.1)</f>
        <v>4183.3</v>
      </c>
      <c r="C38" s="23">
        <f>SUM(C28*1.48)</f>
        <v>714.84</v>
      </c>
      <c r="D38" s="23">
        <f>C38+B38</f>
        <v>4898.14</v>
      </c>
      <c r="E38" s="23">
        <f>SUM(E28*5.36)</f>
        <v>2942.6400000000003</v>
      </c>
      <c r="F38" s="23">
        <f>SUM(F28*17.6)</f>
        <v>4400</v>
      </c>
      <c r="G38" s="23">
        <f>F38+E38</f>
        <v>7342.64</v>
      </c>
      <c r="H38" s="24">
        <f>G38+D38</f>
        <v>12240.78</v>
      </c>
    </row>
    <row r="39" spans="1:8" ht="12.75" customHeight="1">
      <c r="A39" s="52" t="s">
        <v>58</v>
      </c>
      <c r="B39" s="23">
        <f>SUM(B29*1.1)</f>
        <v>4243.8</v>
      </c>
      <c r="C39" s="23">
        <f>SUM(C29*1.48)</f>
        <v>763.68</v>
      </c>
      <c r="D39" s="23">
        <f>C39+B39</f>
        <v>5007.4800000000005</v>
      </c>
      <c r="E39" s="23">
        <f>SUM(E29*5.36)</f>
        <v>2669.28</v>
      </c>
      <c r="F39" s="23">
        <f>SUM(F29*17.6)</f>
        <v>5420.8</v>
      </c>
      <c r="G39" s="23">
        <f>F39+E39</f>
        <v>8090.08</v>
      </c>
      <c r="H39" s="24">
        <f>G39+D39</f>
        <v>13097.560000000001</v>
      </c>
    </row>
    <row r="40" spans="1:8" ht="12.75" customHeight="1">
      <c r="A40" s="52" t="s">
        <v>60</v>
      </c>
      <c r="B40" s="23">
        <f>SUM(B30*1.1)</f>
        <v>4766.3</v>
      </c>
      <c r="C40" s="23">
        <f>SUM(C30*1.48)</f>
        <v>756.28</v>
      </c>
      <c r="D40" s="23">
        <f>C40+B40</f>
        <v>5522.58</v>
      </c>
      <c r="E40" s="23">
        <f>SUM(E30*5.36)</f>
        <v>2637.1200000000003</v>
      </c>
      <c r="F40" s="23">
        <f>SUM(F30*17.6)</f>
        <v>5262.400000000001</v>
      </c>
      <c r="G40" s="23">
        <f>F40+E40</f>
        <v>7899.52</v>
      </c>
      <c r="H40" s="24">
        <f>G40+D40</f>
        <v>13422.1</v>
      </c>
    </row>
    <row r="41" spans="1:8" ht="12.75" customHeight="1">
      <c r="A41" s="28"/>
      <c r="B41" s="11"/>
      <c r="C41" s="11"/>
      <c r="D41" s="11"/>
      <c r="E41" s="11"/>
      <c r="F41" s="11"/>
      <c r="G41" s="11"/>
      <c r="H41" s="13"/>
    </row>
    <row r="43" ht="12.75" customHeight="1">
      <c r="A43" s="27" t="s">
        <v>50</v>
      </c>
    </row>
    <row r="50" spans="1:9" s="2" customFormat="1" ht="12.75" customHeight="1">
      <c r="A50" s="27"/>
      <c r="B50" s="3"/>
      <c r="C50" s="3"/>
      <c r="D50" s="3"/>
      <c r="E50" s="3"/>
      <c r="F50" s="3"/>
      <c r="G50" s="3"/>
      <c r="H50" s="3"/>
      <c r="I50" s="3"/>
    </row>
    <row r="54" ht="12.75" customHeight="1"/>
    <row r="71" spans="1:9" s="2" customFormat="1" ht="12.75" customHeight="1">
      <c r="A71" s="27"/>
      <c r="B71" s="3"/>
      <c r="C71" s="3"/>
      <c r="D71" s="3"/>
      <c r="E71" s="3"/>
      <c r="F71" s="3"/>
      <c r="G71" s="3"/>
      <c r="H71" s="3"/>
      <c r="I71" s="3"/>
    </row>
  </sheetData>
  <printOptions/>
  <pageMargins left="1" right="0.25" top="1" bottom="0.75" header="0.5" footer="0.25"/>
  <pageSetup fitToHeight="1" fitToWidth="1" horizontalDpi="300" verticalDpi="300" orientation="landscape" scale="91" r:id="rId1"/>
  <headerFooter alignWithMargins="0">
    <oddHeader>&amp;CThe University of Alabama in Huntsville
Unit Academic Reports 
</oddHeader>
    <oddFooter>&amp;L&amp;8Office of Institutional Research
&amp;D (np)
&amp;F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2"/>
  <sheetViews>
    <sheetView workbookViewId="0" topLeftCell="A1">
      <selection activeCell="A2" sqref="A2"/>
    </sheetView>
  </sheetViews>
  <sheetFormatPr defaultColWidth="9.140625" defaultRowHeight="12.75"/>
  <cols>
    <col min="1" max="1" width="22.140625" style="0" customWidth="1"/>
    <col min="2" max="18" width="7.28125" style="0" customWidth="1"/>
  </cols>
  <sheetData>
    <row r="1" spans="1:19" ht="12.75">
      <c r="A1" s="18" t="s">
        <v>41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19" ht="12.75">
      <c r="A2" s="1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ht="12.75">
      <c r="A3" s="28"/>
      <c r="B3" s="34" t="s">
        <v>1</v>
      </c>
      <c r="C3" s="35"/>
      <c r="D3" s="34" t="s">
        <v>2</v>
      </c>
      <c r="E3" s="35"/>
      <c r="F3" s="34" t="s">
        <v>3</v>
      </c>
      <c r="G3" s="35"/>
      <c r="H3" s="34" t="s">
        <v>4</v>
      </c>
      <c r="I3" s="35"/>
      <c r="J3" s="34" t="s">
        <v>5</v>
      </c>
      <c r="K3" s="35"/>
      <c r="L3" s="34" t="s">
        <v>6</v>
      </c>
      <c r="M3" s="35"/>
      <c r="N3" s="73" t="s">
        <v>40</v>
      </c>
      <c r="O3" s="35"/>
      <c r="P3" s="34" t="s">
        <v>7</v>
      </c>
      <c r="Q3" s="35"/>
      <c r="R3" s="30" t="s">
        <v>8</v>
      </c>
      <c r="S3" s="27"/>
    </row>
    <row r="4" spans="1:19" ht="12.75">
      <c r="A4" s="54" t="s">
        <v>63</v>
      </c>
      <c r="B4" s="31" t="s">
        <v>9</v>
      </c>
      <c r="C4" s="32" t="s">
        <v>10</v>
      </c>
      <c r="D4" s="31" t="s">
        <v>9</v>
      </c>
      <c r="E4" s="32" t="s">
        <v>10</v>
      </c>
      <c r="F4" s="31" t="s">
        <v>9</v>
      </c>
      <c r="G4" s="32" t="s">
        <v>10</v>
      </c>
      <c r="H4" s="31" t="s">
        <v>9</v>
      </c>
      <c r="I4" s="32" t="s">
        <v>10</v>
      </c>
      <c r="J4" s="31" t="s">
        <v>9</v>
      </c>
      <c r="K4" s="32" t="s">
        <v>10</v>
      </c>
      <c r="L4" s="31" t="s">
        <v>9</v>
      </c>
      <c r="M4" s="32" t="s">
        <v>10</v>
      </c>
      <c r="N4" s="109" t="s">
        <v>9</v>
      </c>
      <c r="O4" s="32" t="s">
        <v>10</v>
      </c>
      <c r="P4" s="31" t="s">
        <v>9</v>
      </c>
      <c r="Q4" s="32" t="s">
        <v>10</v>
      </c>
      <c r="R4" s="33" t="s">
        <v>7</v>
      </c>
      <c r="S4" s="27"/>
    </row>
    <row r="5" spans="2:19" ht="12.75">
      <c r="B5" s="4"/>
      <c r="C5" s="5"/>
      <c r="D5" s="4"/>
      <c r="E5" s="5"/>
      <c r="F5" s="4"/>
      <c r="G5" s="5"/>
      <c r="H5" s="4"/>
      <c r="I5" s="5"/>
      <c r="J5" s="4"/>
      <c r="K5" s="5"/>
      <c r="L5" s="4"/>
      <c r="M5" s="5"/>
      <c r="N5" s="74"/>
      <c r="O5" s="74"/>
      <c r="P5" s="4"/>
      <c r="Q5" s="5"/>
      <c r="R5" s="10"/>
      <c r="S5" s="3"/>
    </row>
    <row r="6" spans="1:19" ht="12.75">
      <c r="A6" s="17" t="s">
        <v>43</v>
      </c>
      <c r="B6" s="94">
        <v>5</v>
      </c>
      <c r="C6" s="95">
        <v>2</v>
      </c>
      <c r="D6" s="94">
        <v>0</v>
      </c>
      <c r="E6" s="95">
        <v>0</v>
      </c>
      <c r="F6" s="94">
        <v>0</v>
      </c>
      <c r="G6" s="95">
        <v>0</v>
      </c>
      <c r="H6" s="94">
        <v>0</v>
      </c>
      <c r="I6" s="95">
        <v>0</v>
      </c>
      <c r="J6" s="94">
        <v>0</v>
      </c>
      <c r="K6" s="95">
        <v>0</v>
      </c>
      <c r="L6" s="94">
        <v>0</v>
      </c>
      <c r="M6" s="96">
        <v>1</v>
      </c>
      <c r="N6" s="94">
        <v>0</v>
      </c>
      <c r="O6" s="96">
        <v>0</v>
      </c>
      <c r="P6" s="94">
        <f>L6+J6+H6+F6+D6+B6</f>
        <v>5</v>
      </c>
      <c r="Q6" s="96">
        <f>M6+K6+I6+G6+E6+C6</f>
        <v>3</v>
      </c>
      <c r="R6" s="97">
        <f>Q6+P6</f>
        <v>8</v>
      </c>
      <c r="S6" s="3"/>
    </row>
    <row r="7" spans="1:19" ht="12.75">
      <c r="A7" s="52" t="s">
        <v>46</v>
      </c>
      <c r="B7" s="94">
        <v>3</v>
      </c>
      <c r="C7" s="95">
        <v>0</v>
      </c>
      <c r="D7" s="94">
        <v>0</v>
      </c>
      <c r="E7" s="95">
        <v>1</v>
      </c>
      <c r="F7" s="94">
        <v>0</v>
      </c>
      <c r="G7" s="95">
        <v>0</v>
      </c>
      <c r="H7" s="94">
        <v>0</v>
      </c>
      <c r="I7" s="95">
        <v>0</v>
      </c>
      <c r="J7" s="94">
        <v>0</v>
      </c>
      <c r="K7" s="95">
        <v>0</v>
      </c>
      <c r="L7" s="94">
        <v>0</v>
      </c>
      <c r="M7" s="96">
        <v>0</v>
      </c>
      <c r="N7" s="94">
        <v>0</v>
      </c>
      <c r="O7" s="96">
        <v>0</v>
      </c>
      <c r="P7" s="94">
        <f>L7+J7+H7+F7+D7+B7</f>
        <v>3</v>
      </c>
      <c r="Q7" s="96">
        <f>M7+K7+I7+G7+E7+C7</f>
        <v>1</v>
      </c>
      <c r="R7" s="97">
        <f>Q7+P7</f>
        <v>4</v>
      </c>
      <c r="S7" s="3"/>
    </row>
    <row r="8" spans="1:19" ht="12.75">
      <c r="A8" s="52" t="s">
        <v>49</v>
      </c>
      <c r="B8" s="94">
        <v>1</v>
      </c>
      <c r="C8" s="95">
        <v>1</v>
      </c>
      <c r="D8" s="94">
        <v>0</v>
      </c>
      <c r="E8" s="95">
        <v>0</v>
      </c>
      <c r="F8" s="94">
        <v>0</v>
      </c>
      <c r="G8" s="95">
        <v>0</v>
      </c>
      <c r="H8" s="94">
        <v>0</v>
      </c>
      <c r="I8" s="95">
        <v>0</v>
      </c>
      <c r="J8" s="94">
        <v>0</v>
      </c>
      <c r="K8" s="95">
        <v>0</v>
      </c>
      <c r="L8" s="94">
        <v>0</v>
      </c>
      <c r="M8" s="96">
        <v>0</v>
      </c>
      <c r="N8" s="94">
        <v>0</v>
      </c>
      <c r="O8" s="96">
        <v>1</v>
      </c>
      <c r="P8" s="94">
        <f>L8+J8+H8+F8+D8+B8</f>
        <v>1</v>
      </c>
      <c r="Q8" s="96">
        <f>M8+K8+I8+G8+E8+C8+O8</f>
        <v>2</v>
      </c>
      <c r="R8" s="97">
        <f>Q8+P8</f>
        <v>3</v>
      </c>
      <c r="S8" s="3"/>
    </row>
    <row r="9" spans="1:19" ht="12.75">
      <c r="A9" s="52" t="s">
        <v>58</v>
      </c>
      <c r="B9" s="94">
        <v>3</v>
      </c>
      <c r="C9" s="95">
        <v>0</v>
      </c>
      <c r="D9" s="94">
        <v>0</v>
      </c>
      <c r="E9" s="95">
        <v>0</v>
      </c>
      <c r="F9" s="94">
        <v>0</v>
      </c>
      <c r="G9" s="95">
        <v>0</v>
      </c>
      <c r="H9" s="94">
        <v>0</v>
      </c>
      <c r="I9" s="95">
        <v>0</v>
      </c>
      <c r="J9" s="94">
        <v>0</v>
      </c>
      <c r="K9" s="95">
        <v>0</v>
      </c>
      <c r="L9" s="94">
        <v>0</v>
      </c>
      <c r="M9" s="96">
        <v>0</v>
      </c>
      <c r="N9" s="95">
        <v>0</v>
      </c>
      <c r="O9" s="95">
        <v>0</v>
      </c>
      <c r="P9" s="94">
        <f>L9+J9+H9+F9+D9+B9</f>
        <v>3</v>
      </c>
      <c r="Q9" s="96">
        <f>M9+K9+I9+G9+E9+C9+O9</f>
        <v>0</v>
      </c>
      <c r="R9" s="97">
        <f>Q9+P9</f>
        <v>3</v>
      </c>
      <c r="S9" s="3"/>
    </row>
    <row r="10" spans="1:19" ht="12.75">
      <c r="A10" s="52" t="s">
        <v>60</v>
      </c>
      <c r="B10" s="94">
        <v>2</v>
      </c>
      <c r="C10" s="95">
        <v>0</v>
      </c>
      <c r="D10" s="94">
        <v>0</v>
      </c>
      <c r="E10" s="95">
        <v>0</v>
      </c>
      <c r="F10" s="94">
        <v>0</v>
      </c>
      <c r="G10" s="95">
        <v>0</v>
      </c>
      <c r="H10" s="94">
        <v>0</v>
      </c>
      <c r="I10" s="95">
        <v>0</v>
      </c>
      <c r="J10" s="94">
        <v>0</v>
      </c>
      <c r="K10" s="95">
        <v>0</v>
      </c>
      <c r="L10" s="94">
        <v>0</v>
      </c>
      <c r="M10" s="96">
        <v>0</v>
      </c>
      <c r="N10" s="95">
        <v>0</v>
      </c>
      <c r="O10" s="95">
        <v>0</v>
      </c>
      <c r="P10" s="94">
        <f>L10+J10+H10+F10+D10+B10</f>
        <v>2</v>
      </c>
      <c r="Q10" s="96">
        <f>M10+K10+I10+G10+E10+C10+O10</f>
        <v>0</v>
      </c>
      <c r="R10" s="97">
        <f>Q10+P10</f>
        <v>2</v>
      </c>
      <c r="S10" s="3"/>
    </row>
    <row r="11" spans="1:19" ht="12.75">
      <c r="A11" s="3"/>
      <c r="B11" s="11"/>
      <c r="C11" s="12"/>
      <c r="D11" s="11"/>
      <c r="E11" s="12"/>
      <c r="F11" s="11"/>
      <c r="G11" s="12"/>
      <c r="H11" s="11"/>
      <c r="I11" s="12"/>
      <c r="J11" s="11"/>
      <c r="K11" s="12"/>
      <c r="L11" s="11"/>
      <c r="M11" s="12"/>
      <c r="N11" s="20"/>
      <c r="O11" s="20"/>
      <c r="P11" s="11"/>
      <c r="Q11" s="12"/>
      <c r="R11" s="13"/>
      <c r="S11" s="3"/>
    </row>
    <row r="12" spans="1:19" ht="12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19" ht="12.75">
      <c r="A13" s="7" t="s">
        <v>11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19" ht="12.75">
      <c r="A14" s="26" t="s">
        <v>12</v>
      </c>
      <c r="B14" s="34" t="s">
        <v>1</v>
      </c>
      <c r="C14" s="35"/>
      <c r="D14" s="34" t="s">
        <v>2</v>
      </c>
      <c r="E14" s="35"/>
      <c r="F14" s="34" t="s">
        <v>3</v>
      </c>
      <c r="G14" s="35"/>
      <c r="H14" s="34" t="s">
        <v>4</v>
      </c>
      <c r="I14" s="35"/>
      <c r="J14" s="34" t="s">
        <v>5</v>
      </c>
      <c r="K14" s="35"/>
      <c r="L14" s="34" t="s">
        <v>6</v>
      </c>
      <c r="M14" s="35"/>
      <c r="N14" s="73" t="s">
        <v>40</v>
      </c>
      <c r="O14" s="35"/>
      <c r="P14" s="34" t="s">
        <v>7</v>
      </c>
      <c r="Q14" s="35"/>
      <c r="R14" s="30" t="s">
        <v>8</v>
      </c>
      <c r="S14" s="38"/>
    </row>
    <row r="15" spans="1:19" ht="12.75">
      <c r="A15" s="26" t="s">
        <v>13</v>
      </c>
      <c r="B15" s="42" t="s">
        <v>9</v>
      </c>
      <c r="C15" s="66" t="s">
        <v>10</v>
      </c>
      <c r="D15" s="42" t="s">
        <v>9</v>
      </c>
      <c r="E15" s="66" t="s">
        <v>10</v>
      </c>
      <c r="F15" s="42" t="s">
        <v>9</v>
      </c>
      <c r="G15" s="66" t="s">
        <v>10</v>
      </c>
      <c r="H15" s="42" t="s">
        <v>9</v>
      </c>
      <c r="I15" s="66" t="s">
        <v>10</v>
      </c>
      <c r="J15" s="42" t="s">
        <v>9</v>
      </c>
      <c r="K15" s="66" t="s">
        <v>10</v>
      </c>
      <c r="L15" s="42" t="s">
        <v>9</v>
      </c>
      <c r="M15" s="66" t="s">
        <v>10</v>
      </c>
      <c r="N15" s="109" t="s">
        <v>9</v>
      </c>
      <c r="O15" s="32" t="s">
        <v>10</v>
      </c>
      <c r="P15" s="42" t="s">
        <v>9</v>
      </c>
      <c r="Q15" s="66" t="s">
        <v>10</v>
      </c>
      <c r="R15" s="43" t="s">
        <v>7</v>
      </c>
      <c r="S15" s="38"/>
    </row>
    <row r="16" spans="1:19" ht="12.75">
      <c r="A16" s="7"/>
      <c r="B16" s="14"/>
      <c r="C16" s="15"/>
      <c r="D16" s="14"/>
      <c r="E16" s="15"/>
      <c r="F16" s="14"/>
      <c r="G16" s="15"/>
      <c r="H16" s="14"/>
      <c r="I16" s="15"/>
      <c r="J16" s="14"/>
      <c r="K16" s="15"/>
      <c r="L16" s="14"/>
      <c r="M16" s="15"/>
      <c r="N16" s="53"/>
      <c r="O16" s="53"/>
      <c r="P16" s="14"/>
      <c r="Q16" s="15"/>
      <c r="R16" s="16"/>
      <c r="S16" s="3"/>
    </row>
    <row r="17" spans="1:19" ht="12.75">
      <c r="A17" s="17" t="s">
        <v>43</v>
      </c>
      <c r="B17" s="44">
        <v>7</v>
      </c>
      <c r="C17" s="45">
        <v>3</v>
      </c>
      <c r="D17" s="44">
        <v>0</v>
      </c>
      <c r="E17" s="45">
        <v>0</v>
      </c>
      <c r="F17" s="44">
        <v>0</v>
      </c>
      <c r="G17" s="45">
        <v>0</v>
      </c>
      <c r="H17" s="44">
        <v>0</v>
      </c>
      <c r="I17" s="45">
        <v>1</v>
      </c>
      <c r="J17" s="44">
        <v>0</v>
      </c>
      <c r="K17" s="45">
        <v>0</v>
      </c>
      <c r="L17" s="44">
        <v>1</v>
      </c>
      <c r="M17" s="45">
        <v>1</v>
      </c>
      <c r="N17" s="44">
        <v>0</v>
      </c>
      <c r="O17" s="45">
        <v>0</v>
      </c>
      <c r="P17" s="44">
        <f>L17+J17+H17+F17+D17+B17</f>
        <v>8</v>
      </c>
      <c r="Q17" s="45">
        <f>M17+K17+I17+G17+E17+C17</f>
        <v>5</v>
      </c>
      <c r="R17" s="46">
        <f>Q17+P17</f>
        <v>13</v>
      </c>
      <c r="S17" s="2"/>
    </row>
    <row r="18" spans="1:19" ht="12.75">
      <c r="A18" s="52" t="s">
        <v>46</v>
      </c>
      <c r="B18" s="44">
        <v>10</v>
      </c>
      <c r="C18" s="45">
        <v>2</v>
      </c>
      <c r="D18" s="44">
        <v>1</v>
      </c>
      <c r="E18" s="45">
        <v>0</v>
      </c>
      <c r="F18" s="44">
        <v>0</v>
      </c>
      <c r="G18" s="45">
        <v>0</v>
      </c>
      <c r="H18" s="44">
        <v>0</v>
      </c>
      <c r="I18" s="45">
        <v>1</v>
      </c>
      <c r="J18" s="44">
        <v>0</v>
      </c>
      <c r="K18" s="45">
        <v>0</v>
      </c>
      <c r="L18" s="44">
        <v>1</v>
      </c>
      <c r="M18" s="45">
        <v>0</v>
      </c>
      <c r="N18" s="44">
        <v>0</v>
      </c>
      <c r="O18" s="45">
        <v>0</v>
      </c>
      <c r="P18" s="44">
        <f>L18+J18+H18+F18+D18+B18</f>
        <v>12</v>
      </c>
      <c r="Q18" s="45">
        <f>M18+K18+I18+G18+E18+C18</f>
        <v>3</v>
      </c>
      <c r="R18" s="46">
        <f>Q18+P18</f>
        <v>15</v>
      </c>
      <c r="S18" s="2"/>
    </row>
    <row r="19" spans="1:19" ht="12.75">
      <c r="A19" s="52" t="s">
        <v>49</v>
      </c>
      <c r="B19" s="44">
        <v>16</v>
      </c>
      <c r="C19" s="45">
        <v>3</v>
      </c>
      <c r="D19" s="44">
        <v>0</v>
      </c>
      <c r="E19" s="45">
        <v>0</v>
      </c>
      <c r="F19" s="44">
        <v>0</v>
      </c>
      <c r="G19" s="45">
        <v>0</v>
      </c>
      <c r="H19" s="44">
        <v>0</v>
      </c>
      <c r="I19" s="45">
        <v>1</v>
      </c>
      <c r="J19" s="44">
        <v>0</v>
      </c>
      <c r="K19" s="45">
        <v>0</v>
      </c>
      <c r="L19" s="44">
        <v>0</v>
      </c>
      <c r="M19" s="45">
        <v>0</v>
      </c>
      <c r="N19" s="48">
        <v>0</v>
      </c>
      <c r="O19" s="48">
        <v>1</v>
      </c>
      <c r="P19" s="44">
        <f aca="true" t="shared" si="0" ref="P19:Q21">L19+J19+H19+F19+D19+B19+N19</f>
        <v>16</v>
      </c>
      <c r="Q19" s="45">
        <f t="shared" si="0"/>
        <v>5</v>
      </c>
      <c r="R19" s="46">
        <f>Q19+P19</f>
        <v>21</v>
      </c>
      <c r="S19" s="2"/>
    </row>
    <row r="20" spans="1:19" ht="12.75">
      <c r="A20" s="52" t="s">
        <v>58</v>
      </c>
      <c r="B20" s="44">
        <v>16</v>
      </c>
      <c r="C20" s="45">
        <v>2</v>
      </c>
      <c r="D20" s="44">
        <v>0</v>
      </c>
      <c r="E20" s="45">
        <v>0</v>
      </c>
      <c r="F20" s="44">
        <v>0</v>
      </c>
      <c r="G20" s="45">
        <v>0</v>
      </c>
      <c r="H20" s="44">
        <v>1</v>
      </c>
      <c r="I20" s="45">
        <v>0</v>
      </c>
      <c r="J20" s="44">
        <v>0</v>
      </c>
      <c r="K20" s="45">
        <v>0</v>
      </c>
      <c r="L20" s="44">
        <v>1</v>
      </c>
      <c r="M20" s="45">
        <v>0</v>
      </c>
      <c r="N20" s="48">
        <v>1</v>
      </c>
      <c r="O20" s="48">
        <v>0</v>
      </c>
      <c r="P20" s="44">
        <f t="shared" si="0"/>
        <v>19</v>
      </c>
      <c r="Q20" s="45">
        <f t="shared" si="0"/>
        <v>2</v>
      </c>
      <c r="R20" s="46">
        <f>Q20+P20</f>
        <v>21</v>
      </c>
      <c r="S20" s="2"/>
    </row>
    <row r="21" spans="1:19" ht="12.75">
      <c r="A21" s="52" t="s">
        <v>60</v>
      </c>
      <c r="B21" s="44">
        <v>8</v>
      </c>
      <c r="C21" s="45">
        <v>3</v>
      </c>
      <c r="D21" s="44">
        <v>0</v>
      </c>
      <c r="E21" s="45">
        <v>0</v>
      </c>
      <c r="F21" s="44">
        <v>0</v>
      </c>
      <c r="G21" s="45">
        <v>0</v>
      </c>
      <c r="H21" s="44">
        <v>1</v>
      </c>
      <c r="I21" s="45">
        <v>0</v>
      </c>
      <c r="J21" s="44">
        <v>0</v>
      </c>
      <c r="K21" s="45">
        <v>1</v>
      </c>
      <c r="L21" s="44">
        <v>0</v>
      </c>
      <c r="M21" s="45">
        <v>0</v>
      </c>
      <c r="N21" s="48">
        <v>1</v>
      </c>
      <c r="O21" s="48">
        <v>0</v>
      </c>
      <c r="P21" s="44">
        <f t="shared" si="0"/>
        <v>10</v>
      </c>
      <c r="Q21" s="45">
        <f t="shared" si="0"/>
        <v>4</v>
      </c>
      <c r="R21" s="46">
        <f>Q21+P21</f>
        <v>14</v>
      </c>
      <c r="S21" s="2"/>
    </row>
    <row r="22" spans="1:19" ht="12.75">
      <c r="A22" s="3"/>
      <c r="B22" s="11"/>
      <c r="C22" s="12"/>
      <c r="D22" s="11"/>
      <c r="E22" s="12"/>
      <c r="F22" s="11"/>
      <c r="G22" s="12"/>
      <c r="H22" s="11"/>
      <c r="I22" s="12"/>
      <c r="J22" s="11"/>
      <c r="K22" s="12"/>
      <c r="L22" s="11"/>
      <c r="M22" s="12"/>
      <c r="N22" s="20"/>
      <c r="O22" s="20"/>
      <c r="P22" s="11"/>
      <c r="Q22" s="12"/>
      <c r="R22" s="13"/>
      <c r="S22" s="3"/>
    </row>
    <row r="23" spans="1:19" ht="12.75">
      <c r="A23" s="7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3"/>
    </row>
    <row r="24" spans="1:19" ht="12.75">
      <c r="A24" s="6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 ht="12.75">
      <c r="A25" s="38" t="s">
        <v>65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ht="12.75">
      <c r="A26" s="38" t="s">
        <v>66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2:6" ht="12.75">
      <c r="B27" s="59"/>
      <c r="C27" s="59"/>
      <c r="D27" s="59"/>
      <c r="E27" s="59"/>
      <c r="F27" s="59"/>
    </row>
    <row r="28" ht="12.75">
      <c r="A28" s="70"/>
    </row>
    <row r="32" spans="2:12" ht="12.75"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</row>
  </sheetData>
  <printOptions/>
  <pageMargins left="1" right="0.25" top="1" bottom="0.75" header="0.5" footer="0.25"/>
  <pageSetup fitToHeight="1" fitToWidth="1" horizontalDpi="300" verticalDpi="300" orientation="landscape" scale="85" r:id="rId1"/>
  <headerFooter alignWithMargins="0">
    <oddHeader>&amp;CThe University of Alabama in Huntsville
Unit Academic Reports 
</oddHeader>
    <oddFooter>&amp;L&amp;8Office of Institutional Research
&amp;D (np)
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2"/>
  <sheetViews>
    <sheetView workbookViewId="0" topLeftCell="A1">
      <selection activeCell="A2" sqref="A2"/>
    </sheetView>
  </sheetViews>
  <sheetFormatPr defaultColWidth="9.140625" defaultRowHeight="12.75" customHeight="1"/>
  <cols>
    <col min="1" max="1" width="25.7109375" style="27" customWidth="1"/>
    <col min="2" max="8" width="14.7109375" style="3" customWidth="1"/>
    <col min="9" max="16384" width="9.140625" style="3" customWidth="1"/>
  </cols>
  <sheetData>
    <row r="1" ht="12.75" customHeight="1">
      <c r="A1" s="1" t="s">
        <v>24</v>
      </c>
    </row>
    <row r="3" spans="1:8" s="27" customFormat="1" ht="12.75" customHeight="1">
      <c r="A3" s="7" t="s">
        <v>48</v>
      </c>
      <c r="B3" s="36" t="s">
        <v>17</v>
      </c>
      <c r="C3" s="36" t="s">
        <v>17</v>
      </c>
      <c r="D3" s="36" t="s">
        <v>7</v>
      </c>
      <c r="E3" s="36" t="s">
        <v>11</v>
      </c>
      <c r="F3" s="36" t="s">
        <v>11</v>
      </c>
      <c r="G3" s="30" t="s">
        <v>7</v>
      </c>
      <c r="H3" s="30" t="s">
        <v>8</v>
      </c>
    </row>
    <row r="4" spans="1:8" s="27" customFormat="1" ht="12.75" customHeight="1">
      <c r="A4" s="28"/>
      <c r="B4" s="31" t="s">
        <v>18</v>
      </c>
      <c r="C4" s="31" t="s">
        <v>19</v>
      </c>
      <c r="D4" s="31" t="s">
        <v>17</v>
      </c>
      <c r="E4" s="31" t="s">
        <v>20</v>
      </c>
      <c r="F4" s="31" t="s">
        <v>21</v>
      </c>
      <c r="G4" s="33" t="s">
        <v>11</v>
      </c>
      <c r="H4" s="33" t="s">
        <v>7</v>
      </c>
    </row>
    <row r="5" spans="2:8" ht="12.75" customHeight="1">
      <c r="B5" s="4"/>
      <c r="C5" s="4"/>
      <c r="D5" s="4"/>
      <c r="E5" s="4"/>
      <c r="F5" s="4"/>
      <c r="G5" s="4"/>
      <c r="H5" s="10"/>
    </row>
    <row r="6" spans="1:8" ht="12.75" customHeight="1">
      <c r="A6" s="7" t="s">
        <v>43</v>
      </c>
      <c r="B6" s="50">
        <v>360</v>
      </c>
      <c r="C6" s="50">
        <v>36</v>
      </c>
      <c r="D6" s="50">
        <f>C6+B6</f>
        <v>396</v>
      </c>
      <c r="E6" s="50">
        <v>0</v>
      </c>
      <c r="F6" s="50">
        <v>0</v>
      </c>
      <c r="G6" s="50">
        <v>0</v>
      </c>
      <c r="H6" s="51">
        <f>G6+D6</f>
        <v>396</v>
      </c>
    </row>
    <row r="7" spans="1:8" ht="12.75" customHeight="1">
      <c r="A7" s="52" t="s">
        <v>46</v>
      </c>
      <c r="B7" s="50">
        <f>304+76</f>
        <v>380</v>
      </c>
      <c r="C7" s="50">
        <f>27</f>
        <v>27</v>
      </c>
      <c r="D7" s="50">
        <f>C7+B7</f>
        <v>407</v>
      </c>
      <c r="E7" s="50">
        <v>0</v>
      </c>
      <c r="F7" s="50">
        <v>0</v>
      </c>
      <c r="G7" s="50">
        <v>0</v>
      </c>
      <c r="H7" s="51">
        <f>G7+D7</f>
        <v>407</v>
      </c>
    </row>
    <row r="8" spans="1:8" ht="12.75" customHeight="1">
      <c r="A8" s="52" t="s">
        <v>49</v>
      </c>
      <c r="B8" s="50">
        <f>304+72</f>
        <v>376</v>
      </c>
      <c r="C8" s="50">
        <f>45+9</f>
        <v>54</v>
      </c>
      <c r="D8" s="50">
        <f>C8+B8</f>
        <v>430</v>
      </c>
      <c r="E8" s="50">
        <v>0</v>
      </c>
      <c r="F8" s="50">
        <v>0</v>
      </c>
      <c r="G8" s="50">
        <v>0</v>
      </c>
      <c r="H8" s="51">
        <f>G8+D8</f>
        <v>430</v>
      </c>
    </row>
    <row r="9" spans="1:8" ht="12.75" customHeight="1">
      <c r="A9" s="52" t="s">
        <v>58</v>
      </c>
      <c r="B9" s="50">
        <v>396</v>
      </c>
      <c r="C9" s="50">
        <v>57</v>
      </c>
      <c r="D9" s="50">
        <f>C9+B9</f>
        <v>453</v>
      </c>
      <c r="E9" s="50">
        <v>0</v>
      </c>
      <c r="F9" s="50">
        <v>0</v>
      </c>
      <c r="G9" s="50">
        <v>0</v>
      </c>
      <c r="H9" s="51">
        <f>G9+D9</f>
        <v>453</v>
      </c>
    </row>
    <row r="10" spans="1:8" ht="12.75" customHeight="1">
      <c r="A10" s="52" t="s">
        <v>60</v>
      </c>
      <c r="B10" s="50">
        <v>408</v>
      </c>
      <c r="C10" s="50">
        <v>21</v>
      </c>
      <c r="D10" s="50">
        <f>C10+B10</f>
        <v>429</v>
      </c>
      <c r="E10" s="50">
        <v>0</v>
      </c>
      <c r="F10" s="50">
        <v>0</v>
      </c>
      <c r="G10" s="50">
        <v>0</v>
      </c>
      <c r="H10" s="51">
        <f>G10+D10</f>
        <v>429</v>
      </c>
    </row>
    <row r="11" spans="1:8" ht="12.75" customHeight="1">
      <c r="A11" s="28"/>
      <c r="B11" s="11"/>
      <c r="C11" s="11"/>
      <c r="D11" s="11"/>
      <c r="E11" s="11"/>
      <c r="F11" s="11"/>
      <c r="G11" s="11"/>
      <c r="H11" s="13"/>
    </row>
    <row r="12" spans="1:8" ht="12.75" customHeight="1">
      <c r="A12" s="28"/>
      <c r="B12"/>
      <c r="C12"/>
      <c r="D12"/>
      <c r="E12"/>
      <c r="F12"/>
      <c r="G12"/>
      <c r="H12"/>
    </row>
    <row r="13" spans="1:8" s="27" customFormat="1" ht="12.75" customHeight="1">
      <c r="A13" s="7" t="s">
        <v>47</v>
      </c>
      <c r="B13" s="36" t="s">
        <v>17</v>
      </c>
      <c r="C13" s="36" t="s">
        <v>17</v>
      </c>
      <c r="D13" s="36" t="s">
        <v>7</v>
      </c>
      <c r="E13" s="36" t="s">
        <v>11</v>
      </c>
      <c r="F13" s="36" t="s">
        <v>22</v>
      </c>
      <c r="G13" s="36" t="s">
        <v>23</v>
      </c>
      <c r="H13" s="30" t="s">
        <v>8</v>
      </c>
    </row>
    <row r="14" spans="1:8" s="27" customFormat="1" ht="12.75" customHeight="1">
      <c r="A14" s="28"/>
      <c r="B14" s="31" t="s">
        <v>18</v>
      </c>
      <c r="C14" s="31" t="s">
        <v>19</v>
      </c>
      <c r="D14" s="31" t="s">
        <v>17</v>
      </c>
      <c r="E14" s="31" t="s">
        <v>20</v>
      </c>
      <c r="F14" s="31" t="s">
        <v>21</v>
      </c>
      <c r="G14" s="31" t="s">
        <v>11</v>
      </c>
      <c r="H14" s="33" t="s">
        <v>7</v>
      </c>
    </row>
    <row r="15" spans="2:8" ht="12.75" customHeight="1">
      <c r="B15" s="14"/>
      <c r="C15" s="14"/>
      <c r="D15" s="14"/>
      <c r="E15" s="14"/>
      <c r="F15" s="14"/>
      <c r="G15" s="14"/>
      <c r="H15" s="16"/>
    </row>
    <row r="16" spans="1:8" ht="12.75" customHeight="1">
      <c r="A16" s="7" t="s">
        <v>43</v>
      </c>
      <c r="B16" s="23">
        <f>SUM(B6*1.1)</f>
        <v>396.00000000000006</v>
      </c>
      <c r="C16" s="23">
        <f>SUM(C6*1.48)</f>
        <v>53.28</v>
      </c>
      <c r="D16" s="23">
        <f>C16+B16</f>
        <v>449.2800000000001</v>
      </c>
      <c r="E16" s="23">
        <f>SUM(E6*5.36)</f>
        <v>0</v>
      </c>
      <c r="F16" s="23">
        <f>SUM(F6*17.6)</f>
        <v>0</v>
      </c>
      <c r="G16" s="23">
        <f>F16+E16</f>
        <v>0</v>
      </c>
      <c r="H16" s="24">
        <f>G16+D16</f>
        <v>449.2800000000001</v>
      </c>
    </row>
    <row r="17" spans="1:8" ht="12.75" customHeight="1">
      <c r="A17" s="52" t="s">
        <v>46</v>
      </c>
      <c r="B17" s="23">
        <f>SUM(B7*1.1)</f>
        <v>418.00000000000006</v>
      </c>
      <c r="C17" s="23">
        <f>SUM(C7*1.48)</f>
        <v>39.96</v>
      </c>
      <c r="D17" s="23">
        <f>C17+B17</f>
        <v>457.96000000000004</v>
      </c>
      <c r="E17" s="23">
        <f>SUM(E7*5.36)</f>
        <v>0</v>
      </c>
      <c r="F17" s="23">
        <f>SUM(F7*17.6)</f>
        <v>0</v>
      </c>
      <c r="G17" s="23">
        <f>F17+E17</f>
        <v>0</v>
      </c>
      <c r="H17" s="24">
        <f>G17+D17</f>
        <v>457.96000000000004</v>
      </c>
    </row>
    <row r="18" spans="1:8" ht="12.75" customHeight="1">
      <c r="A18" s="52" t="s">
        <v>49</v>
      </c>
      <c r="B18" s="23">
        <f>SUM(B8*1.1)</f>
        <v>413.6</v>
      </c>
      <c r="C18" s="23">
        <f>SUM(C8*1.48)</f>
        <v>79.92</v>
      </c>
      <c r="D18" s="23">
        <f>C18+B18</f>
        <v>493.52000000000004</v>
      </c>
      <c r="E18" s="23">
        <f>SUM(E8*5.36)</f>
        <v>0</v>
      </c>
      <c r="F18" s="23">
        <f>SUM(F8*17.6)</f>
        <v>0</v>
      </c>
      <c r="G18" s="23">
        <f>F18+E18</f>
        <v>0</v>
      </c>
      <c r="H18" s="24">
        <f>G18+D18</f>
        <v>493.52000000000004</v>
      </c>
    </row>
    <row r="19" spans="1:8" ht="12.75" customHeight="1">
      <c r="A19" s="52" t="s">
        <v>58</v>
      </c>
      <c r="B19" s="23">
        <f>SUM(B9*1.1)</f>
        <v>435.6</v>
      </c>
      <c r="C19" s="23">
        <f>SUM(C9*1.48)</f>
        <v>84.36</v>
      </c>
      <c r="D19" s="23">
        <f>C19+B19</f>
        <v>519.96</v>
      </c>
      <c r="E19" s="23">
        <f>SUM(E9*5.36)</f>
        <v>0</v>
      </c>
      <c r="F19" s="23">
        <f>SUM(F9*17.6)</f>
        <v>0</v>
      </c>
      <c r="G19" s="23">
        <f>F19+E19</f>
        <v>0</v>
      </c>
      <c r="H19" s="24">
        <f>G19+D19</f>
        <v>519.96</v>
      </c>
    </row>
    <row r="20" spans="1:8" ht="12.75" customHeight="1">
      <c r="A20" s="52" t="s">
        <v>60</v>
      </c>
      <c r="B20" s="23">
        <f>SUM(B10*1.1)</f>
        <v>448.8</v>
      </c>
      <c r="C20" s="23">
        <f>SUM(C10*1.48)</f>
        <v>31.08</v>
      </c>
      <c r="D20" s="23">
        <f>C20+B20</f>
        <v>479.88</v>
      </c>
      <c r="E20" s="23">
        <f>SUM(E10*5.36)</f>
        <v>0</v>
      </c>
      <c r="F20" s="23">
        <f>SUM(F10*17.6)</f>
        <v>0</v>
      </c>
      <c r="G20" s="23">
        <f>F20+E20</f>
        <v>0</v>
      </c>
      <c r="H20" s="24">
        <f>G20+D20</f>
        <v>479.88</v>
      </c>
    </row>
    <row r="21" spans="1:8" ht="12.75" customHeight="1">
      <c r="A21" s="28"/>
      <c r="B21" s="11"/>
      <c r="C21" s="11"/>
      <c r="D21" s="11"/>
      <c r="E21" s="11"/>
      <c r="F21" s="11"/>
      <c r="G21" s="11"/>
      <c r="H21" s="13"/>
    </row>
    <row r="23" ht="12.75" customHeight="1">
      <c r="A23" s="27" t="s">
        <v>50</v>
      </c>
    </row>
    <row r="31" spans="1:9" s="2" customFormat="1" ht="12.75" customHeight="1">
      <c r="A31" s="27"/>
      <c r="B31" s="3"/>
      <c r="C31" s="3"/>
      <c r="D31" s="3"/>
      <c r="E31" s="3"/>
      <c r="F31" s="3"/>
      <c r="G31" s="3"/>
      <c r="H31" s="3"/>
      <c r="I31" s="3"/>
    </row>
    <row r="40" spans="1:9" s="2" customFormat="1" ht="12.75" customHeight="1">
      <c r="A40" s="27"/>
      <c r="B40" s="3"/>
      <c r="C40" s="3"/>
      <c r="D40" s="3"/>
      <c r="E40" s="3"/>
      <c r="F40" s="3"/>
      <c r="G40" s="3"/>
      <c r="H40" s="3"/>
      <c r="I40" s="3"/>
    </row>
    <row r="74" spans="1:9" s="2" customFormat="1" ht="12.75" customHeight="1">
      <c r="A74" s="27"/>
      <c r="B74" s="3"/>
      <c r="C74" s="3"/>
      <c r="D74" s="3"/>
      <c r="E74" s="3"/>
      <c r="F74" s="3"/>
      <c r="G74" s="3"/>
      <c r="H74" s="3"/>
      <c r="I74" s="3"/>
    </row>
    <row r="83" spans="1:9" s="2" customFormat="1" ht="12.75" customHeight="1">
      <c r="A83" s="27"/>
      <c r="B83" s="3"/>
      <c r="C83" s="3"/>
      <c r="D83" s="3"/>
      <c r="E83" s="3"/>
      <c r="F83" s="3"/>
      <c r="G83" s="3"/>
      <c r="H83" s="3"/>
      <c r="I83" s="3"/>
    </row>
    <row r="116" spans="1:9" s="2" customFormat="1" ht="12.75" customHeight="1">
      <c r="A116" s="27"/>
      <c r="B116" s="3"/>
      <c r="C116" s="3"/>
      <c r="D116" s="3"/>
      <c r="E116" s="3"/>
      <c r="F116" s="3"/>
      <c r="G116" s="3"/>
      <c r="H116" s="3"/>
      <c r="I116" s="3"/>
    </row>
    <row r="182" spans="1:9" s="2" customFormat="1" ht="12.75" customHeight="1">
      <c r="A182" s="27"/>
      <c r="B182" s="3"/>
      <c r="C182" s="3"/>
      <c r="D182" s="3"/>
      <c r="E182" s="3"/>
      <c r="F182" s="3"/>
      <c r="G182" s="3"/>
      <c r="H182" s="3"/>
      <c r="I182" s="3"/>
    </row>
    <row r="192" spans="1:9" s="2" customFormat="1" ht="12.75" customHeight="1">
      <c r="A192" s="27"/>
      <c r="B192" s="3"/>
      <c r="C192" s="3"/>
      <c r="D192" s="3"/>
      <c r="E192" s="3"/>
      <c r="F192" s="3"/>
      <c r="G192" s="3"/>
      <c r="H192" s="3"/>
      <c r="I192" s="3"/>
    </row>
    <row r="257" spans="1:9" s="2" customFormat="1" ht="12.75" customHeight="1">
      <c r="A257" s="27"/>
      <c r="B257" s="3"/>
      <c r="C257" s="3"/>
      <c r="D257" s="3"/>
      <c r="E257" s="3"/>
      <c r="F257" s="3"/>
      <c r="G257" s="3"/>
      <c r="H257" s="3"/>
      <c r="I257" s="3"/>
    </row>
    <row r="290" spans="1:9" s="2" customFormat="1" ht="12.75" customHeight="1">
      <c r="A290" s="27"/>
      <c r="B290" s="3"/>
      <c r="C290" s="3"/>
      <c r="D290" s="3"/>
      <c r="E290" s="3"/>
      <c r="F290" s="3"/>
      <c r="G290" s="3"/>
      <c r="H290" s="3"/>
      <c r="I290" s="3"/>
    </row>
    <row r="321" spans="1:9" s="2" customFormat="1" ht="12.75" customHeight="1">
      <c r="A321" s="27"/>
      <c r="B321" s="3"/>
      <c r="C321" s="3"/>
      <c r="D321" s="3"/>
      <c r="E321" s="3"/>
      <c r="F321" s="3"/>
      <c r="G321" s="3"/>
      <c r="H321" s="3"/>
      <c r="I321" s="3"/>
    </row>
    <row r="330" spans="1:9" s="2" customFormat="1" ht="12.75" customHeight="1">
      <c r="A330" s="27"/>
      <c r="B330" s="3"/>
      <c r="C330" s="3"/>
      <c r="D330" s="3"/>
      <c r="E330" s="3"/>
      <c r="F330" s="3"/>
      <c r="G330" s="3"/>
      <c r="H330" s="3"/>
      <c r="I330" s="3"/>
    </row>
    <row r="361" spans="1:9" s="2" customFormat="1" ht="12.75" customHeight="1">
      <c r="A361" s="27"/>
      <c r="B361" s="3"/>
      <c r="C361" s="3"/>
      <c r="D361" s="3"/>
      <c r="E361" s="3"/>
      <c r="F361" s="3"/>
      <c r="G361" s="3"/>
      <c r="H361" s="3"/>
      <c r="I361" s="3"/>
    </row>
    <row r="365" ht="12.75" customHeight="1"/>
    <row r="382" spans="1:9" s="2" customFormat="1" ht="12.75" customHeight="1">
      <c r="A382" s="27"/>
      <c r="B382" s="3"/>
      <c r="C382" s="3"/>
      <c r="D382" s="3"/>
      <c r="E382" s="3"/>
      <c r="F382" s="3"/>
      <c r="G382" s="3"/>
      <c r="H382" s="3"/>
      <c r="I382" s="3"/>
    </row>
  </sheetData>
  <printOptions/>
  <pageMargins left="1" right="0.25" top="1" bottom="0.75" header="0.5" footer="0.25"/>
  <pageSetup fitToHeight="1" fitToWidth="1" horizontalDpi="300" verticalDpi="300" orientation="landscape" scale="97" r:id="rId1"/>
  <headerFooter alignWithMargins="0">
    <oddHeader>&amp;CThe University of Alabama in Huntsville
Unit Academic Reports 
</oddHeader>
    <oddFooter>&amp;L&amp;8Office of Institutional Research
&amp;D (np)
&amp;F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2"/>
  <sheetViews>
    <sheetView workbookViewId="0" topLeftCell="A1">
      <selection activeCell="A2" sqref="A2"/>
    </sheetView>
  </sheetViews>
  <sheetFormatPr defaultColWidth="9.140625" defaultRowHeight="12.75"/>
  <cols>
    <col min="1" max="1" width="22.7109375" style="0" customWidth="1"/>
    <col min="2" max="4" width="15.7109375" style="0" customWidth="1"/>
  </cols>
  <sheetData>
    <row r="1" spans="1:4" ht="12.75">
      <c r="A1" s="72" t="s">
        <v>41</v>
      </c>
      <c r="B1" s="101"/>
      <c r="C1" s="102"/>
      <c r="D1" s="102"/>
    </row>
    <row r="2" spans="2:4" ht="12.75">
      <c r="B2" s="102"/>
      <c r="C2" s="102"/>
      <c r="D2" s="102"/>
    </row>
    <row r="3" spans="1:4" ht="12.75">
      <c r="A3" s="26" t="s">
        <v>11</v>
      </c>
      <c r="B3" s="103"/>
      <c r="C3" s="103"/>
      <c r="D3" s="103"/>
    </row>
    <row r="4" spans="1:4" ht="12.75">
      <c r="A4" s="26" t="s">
        <v>12</v>
      </c>
      <c r="B4" s="104" t="s">
        <v>16</v>
      </c>
      <c r="C4" s="104" t="s">
        <v>14</v>
      </c>
      <c r="D4" s="104" t="s">
        <v>15</v>
      </c>
    </row>
    <row r="5" spans="1:4" ht="12.75">
      <c r="A5" s="38"/>
      <c r="B5" s="105"/>
      <c r="C5" s="105"/>
      <c r="D5" s="105"/>
    </row>
    <row r="6" spans="1:4" ht="12.75">
      <c r="A6" s="52" t="s">
        <v>43</v>
      </c>
      <c r="B6" s="106">
        <v>7</v>
      </c>
      <c r="C6" s="106">
        <f>+SWE!R17</f>
        <v>13</v>
      </c>
      <c r="D6" s="99">
        <v>14</v>
      </c>
    </row>
    <row r="7" spans="1:4" ht="12.75">
      <c r="A7" s="52" t="s">
        <v>46</v>
      </c>
      <c r="B7" s="106">
        <v>2</v>
      </c>
      <c r="C7" s="106">
        <f>+SWE!R18</f>
        <v>15</v>
      </c>
      <c r="D7" s="99">
        <v>17</v>
      </c>
    </row>
    <row r="8" spans="1:4" ht="12.75">
      <c r="A8" s="52" t="s">
        <v>49</v>
      </c>
      <c r="B8" s="106">
        <v>13</v>
      </c>
      <c r="C8" s="106">
        <f>+SWE!R19</f>
        <v>21</v>
      </c>
      <c r="D8" s="99">
        <v>20</v>
      </c>
    </row>
    <row r="9" spans="1:4" ht="12.75">
      <c r="A9" s="52" t="s">
        <v>58</v>
      </c>
      <c r="B9" s="110">
        <v>3</v>
      </c>
      <c r="C9" s="106">
        <f>+SWE!R20</f>
        <v>21</v>
      </c>
      <c r="D9" s="99">
        <v>19</v>
      </c>
    </row>
    <row r="10" spans="1:4" ht="12.75">
      <c r="A10" s="52" t="s">
        <v>60</v>
      </c>
      <c r="B10" s="110">
        <v>12</v>
      </c>
      <c r="C10" s="106">
        <f>+SWE!R21</f>
        <v>14</v>
      </c>
      <c r="D10" s="99">
        <v>17</v>
      </c>
    </row>
    <row r="11" spans="1:4" ht="12.75">
      <c r="A11" s="38"/>
      <c r="B11" s="107"/>
      <c r="C11" s="107"/>
      <c r="D11" s="108"/>
    </row>
    <row r="12" spans="2:4" ht="12.75">
      <c r="B12" s="102"/>
      <c r="C12" s="102"/>
      <c r="D12" s="102"/>
    </row>
  </sheetData>
  <printOptions/>
  <pageMargins left="1" right="0.25" top="1" bottom="0.75" header="0.5" footer="0.25"/>
  <pageSetup fitToHeight="1" fitToWidth="1" horizontalDpi="600" verticalDpi="600" orientation="landscape" r:id="rId1"/>
  <headerFooter alignWithMargins="0">
    <oddHeader>&amp;CThe University of Alabama in Huntsville
Unit Academic Reports 
</oddHeader>
    <oddFooter>&amp;L&amp;8Office of Institutional Research
&amp;D (np)
&amp;F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1"/>
  <sheetViews>
    <sheetView workbookViewId="0" topLeftCell="A1">
      <selection activeCell="A2" sqref="A2"/>
    </sheetView>
  </sheetViews>
  <sheetFormatPr defaultColWidth="9.140625" defaultRowHeight="12.75" customHeight="1"/>
  <cols>
    <col min="1" max="1" width="18.7109375" style="3" customWidth="1"/>
    <col min="2" max="18" width="7.28125" style="3" customWidth="1"/>
    <col min="19" max="16384" width="9.140625" style="3" customWidth="1"/>
  </cols>
  <sheetData>
    <row r="1" ht="12.75" customHeight="1">
      <c r="A1" s="18" t="s">
        <v>33</v>
      </c>
    </row>
    <row r="3" ht="12.75" customHeight="1">
      <c r="A3" s="7" t="s">
        <v>17</v>
      </c>
    </row>
    <row r="4" spans="1:18" ht="12.75" customHeight="1">
      <c r="A4" s="7" t="s">
        <v>12</v>
      </c>
      <c r="B4" s="34" t="s">
        <v>1</v>
      </c>
      <c r="C4" s="35"/>
      <c r="D4" s="34" t="s">
        <v>2</v>
      </c>
      <c r="E4" s="35"/>
      <c r="F4" s="34" t="s">
        <v>3</v>
      </c>
      <c r="G4" s="35"/>
      <c r="H4" s="34" t="s">
        <v>4</v>
      </c>
      <c r="I4" s="35"/>
      <c r="J4" s="34" t="s">
        <v>5</v>
      </c>
      <c r="K4" s="35"/>
      <c r="L4" s="34" t="s">
        <v>6</v>
      </c>
      <c r="M4" s="35"/>
      <c r="N4" s="34" t="s">
        <v>40</v>
      </c>
      <c r="O4" s="35"/>
      <c r="P4" s="34" t="s">
        <v>7</v>
      </c>
      <c r="Q4" s="35"/>
      <c r="R4" s="30" t="s">
        <v>8</v>
      </c>
    </row>
    <row r="5" spans="1:18" ht="12.75" customHeight="1">
      <c r="A5" s="7" t="s">
        <v>13</v>
      </c>
      <c r="B5" s="31" t="s">
        <v>9</v>
      </c>
      <c r="C5" s="32" t="s">
        <v>10</v>
      </c>
      <c r="D5" s="31" t="s">
        <v>9</v>
      </c>
      <c r="E5" s="32" t="s">
        <v>10</v>
      </c>
      <c r="F5" s="31" t="s">
        <v>9</v>
      </c>
      <c r="G5" s="32" t="s">
        <v>10</v>
      </c>
      <c r="H5" s="31" t="s">
        <v>9</v>
      </c>
      <c r="I5" s="32" t="s">
        <v>10</v>
      </c>
      <c r="J5" s="31" t="s">
        <v>9</v>
      </c>
      <c r="K5" s="32" t="s">
        <v>10</v>
      </c>
      <c r="L5" s="31" t="s">
        <v>9</v>
      </c>
      <c r="M5" s="32" t="s">
        <v>10</v>
      </c>
      <c r="N5" s="31" t="s">
        <v>9</v>
      </c>
      <c r="O5" s="32" t="s">
        <v>10</v>
      </c>
      <c r="P5" s="31" t="s">
        <v>9</v>
      </c>
      <c r="Q5" s="32" t="s">
        <v>10</v>
      </c>
      <c r="R5" s="33" t="s">
        <v>7</v>
      </c>
    </row>
    <row r="6" spans="1:18" ht="12.75" customHeight="1">
      <c r="A6" s="7"/>
      <c r="B6" s="14"/>
      <c r="C6" s="15"/>
      <c r="D6" s="14"/>
      <c r="E6" s="15"/>
      <c r="F6" s="14"/>
      <c r="G6" s="15"/>
      <c r="H6" s="14"/>
      <c r="I6" s="15"/>
      <c r="J6" s="14"/>
      <c r="K6" s="15"/>
      <c r="L6" s="14"/>
      <c r="M6" s="15"/>
      <c r="N6" s="4"/>
      <c r="O6" s="5"/>
      <c r="P6" s="4"/>
      <c r="Q6" s="5"/>
      <c r="R6" s="16"/>
    </row>
    <row r="7" spans="1:18" s="2" customFormat="1" ht="12.75" customHeight="1">
      <c r="A7" s="17" t="s">
        <v>43</v>
      </c>
      <c r="B7" s="44">
        <f>1+12</f>
        <v>13</v>
      </c>
      <c r="C7" s="48">
        <v>7</v>
      </c>
      <c r="D7" s="44">
        <v>1</v>
      </c>
      <c r="E7" s="48">
        <v>3</v>
      </c>
      <c r="F7" s="44">
        <v>0</v>
      </c>
      <c r="G7" s="48">
        <v>0</v>
      </c>
      <c r="H7" s="44">
        <v>1</v>
      </c>
      <c r="I7" s="48">
        <v>1</v>
      </c>
      <c r="J7" s="44">
        <v>0</v>
      </c>
      <c r="K7" s="48">
        <v>0</v>
      </c>
      <c r="L7" s="44">
        <v>0</v>
      </c>
      <c r="M7" s="48">
        <v>1</v>
      </c>
      <c r="N7" s="44">
        <v>0</v>
      </c>
      <c r="O7" s="45">
        <v>0</v>
      </c>
      <c r="P7" s="44">
        <f aca="true" t="shared" si="0" ref="P7:Q11">N7+L7+J7+H7+F7+D7+B7</f>
        <v>15</v>
      </c>
      <c r="Q7" s="45">
        <f t="shared" si="0"/>
        <v>12</v>
      </c>
      <c r="R7" s="46">
        <f>Q7+P7</f>
        <v>27</v>
      </c>
    </row>
    <row r="8" spans="1:18" s="2" customFormat="1" ht="12.75" customHeight="1">
      <c r="A8" s="52" t="s">
        <v>46</v>
      </c>
      <c r="B8" s="44">
        <v>23</v>
      </c>
      <c r="C8" s="48">
        <v>15</v>
      </c>
      <c r="D8" s="44">
        <v>1</v>
      </c>
      <c r="E8" s="48">
        <v>3</v>
      </c>
      <c r="F8" s="44">
        <v>1</v>
      </c>
      <c r="G8" s="48">
        <v>1</v>
      </c>
      <c r="H8" s="44">
        <v>2</v>
      </c>
      <c r="I8" s="48">
        <v>0</v>
      </c>
      <c r="J8" s="44">
        <v>0</v>
      </c>
      <c r="K8" s="48">
        <v>0</v>
      </c>
      <c r="L8" s="44">
        <v>0</v>
      </c>
      <c r="M8" s="48">
        <v>2</v>
      </c>
      <c r="N8" s="44">
        <v>1</v>
      </c>
      <c r="O8" s="45">
        <v>0</v>
      </c>
      <c r="P8" s="44">
        <f t="shared" si="0"/>
        <v>28</v>
      </c>
      <c r="Q8" s="45">
        <f t="shared" si="0"/>
        <v>21</v>
      </c>
      <c r="R8" s="46">
        <f>Q8+P8</f>
        <v>49</v>
      </c>
    </row>
    <row r="9" spans="1:18" s="2" customFormat="1" ht="12.75" customHeight="1">
      <c r="A9" s="52" t="s">
        <v>49</v>
      </c>
      <c r="B9" s="44">
        <v>22</v>
      </c>
      <c r="C9" s="48">
        <v>27</v>
      </c>
      <c r="D9" s="44">
        <v>0</v>
      </c>
      <c r="E9" s="48">
        <v>4</v>
      </c>
      <c r="F9" s="44">
        <v>2</v>
      </c>
      <c r="G9" s="48">
        <v>1</v>
      </c>
      <c r="H9" s="44">
        <v>2</v>
      </c>
      <c r="I9" s="48">
        <v>1</v>
      </c>
      <c r="J9" s="44">
        <v>0</v>
      </c>
      <c r="K9" s="48">
        <v>0</v>
      </c>
      <c r="L9" s="44">
        <v>0</v>
      </c>
      <c r="M9" s="48">
        <v>1</v>
      </c>
      <c r="N9" s="44">
        <v>1</v>
      </c>
      <c r="O9" s="45">
        <v>0</v>
      </c>
      <c r="P9" s="44">
        <f t="shared" si="0"/>
        <v>27</v>
      </c>
      <c r="Q9" s="45">
        <f t="shared" si="0"/>
        <v>34</v>
      </c>
      <c r="R9" s="46">
        <f>Q9+P9</f>
        <v>61</v>
      </c>
    </row>
    <row r="10" spans="1:18" s="2" customFormat="1" ht="12.75" customHeight="1">
      <c r="A10" s="52" t="s">
        <v>58</v>
      </c>
      <c r="B10" s="44">
        <v>21</v>
      </c>
      <c r="C10" s="48">
        <v>25</v>
      </c>
      <c r="D10" s="44">
        <v>0</v>
      </c>
      <c r="E10" s="48">
        <v>3</v>
      </c>
      <c r="F10" s="44">
        <v>1</v>
      </c>
      <c r="G10" s="48">
        <v>1</v>
      </c>
      <c r="H10" s="44">
        <v>0</v>
      </c>
      <c r="I10" s="48">
        <v>0</v>
      </c>
      <c r="J10" s="44">
        <v>1</v>
      </c>
      <c r="K10" s="48">
        <v>0</v>
      </c>
      <c r="L10" s="44">
        <v>0</v>
      </c>
      <c r="M10" s="48">
        <v>0</v>
      </c>
      <c r="N10" s="44">
        <v>1</v>
      </c>
      <c r="O10" s="45">
        <v>0</v>
      </c>
      <c r="P10" s="44">
        <f t="shared" si="0"/>
        <v>24</v>
      </c>
      <c r="Q10" s="45">
        <f t="shared" si="0"/>
        <v>29</v>
      </c>
      <c r="R10" s="46">
        <f>Q10+P10</f>
        <v>53</v>
      </c>
    </row>
    <row r="11" spans="1:18" s="2" customFormat="1" ht="12.75" customHeight="1">
      <c r="A11" s="52" t="s">
        <v>60</v>
      </c>
      <c r="B11" s="44">
        <v>22</v>
      </c>
      <c r="C11" s="48">
        <v>28</v>
      </c>
      <c r="D11" s="44">
        <v>0</v>
      </c>
      <c r="E11" s="48">
        <v>5</v>
      </c>
      <c r="F11" s="44">
        <v>2</v>
      </c>
      <c r="G11" s="48">
        <v>0</v>
      </c>
      <c r="H11" s="44">
        <v>0</v>
      </c>
      <c r="I11" s="48">
        <v>0</v>
      </c>
      <c r="J11" s="44">
        <v>1</v>
      </c>
      <c r="K11" s="48">
        <v>0</v>
      </c>
      <c r="L11" s="44">
        <v>0</v>
      </c>
      <c r="M11" s="48">
        <v>0</v>
      </c>
      <c r="N11" s="44">
        <v>0</v>
      </c>
      <c r="O11" s="45">
        <v>0</v>
      </c>
      <c r="P11" s="44">
        <f t="shared" si="0"/>
        <v>25</v>
      </c>
      <c r="Q11" s="45">
        <f t="shared" si="0"/>
        <v>33</v>
      </c>
      <c r="R11" s="46">
        <f>Q11+P11</f>
        <v>58</v>
      </c>
    </row>
    <row r="12" spans="2:18" ht="12.75" customHeight="1">
      <c r="B12" s="11"/>
      <c r="C12" s="20"/>
      <c r="D12" s="11"/>
      <c r="E12" s="20"/>
      <c r="F12" s="11"/>
      <c r="G12" s="20"/>
      <c r="H12" s="11"/>
      <c r="I12" s="20"/>
      <c r="J12" s="11"/>
      <c r="K12" s="20"/>
      <c r="L12" s="11"/>
      <c r="M12" s="20"/>
      <c r="N12" s="11"/>
      <c r="O12" s="12"/>
      <c r="P12" s="11"/>
      <c r="Q12" s="12"/>
      <c r="R12" s="13"/>
    </row>
    <row r="51" spans="1:18" s="2" customFormat="1" ht="12.7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</row>
  </sheetData>
  <printOptions/>
  <pageMargins left="1" right="0.25" top="1" bottom="0.75" header="0.5" footer="0.25"/>
  <pageSetup fitToHeight="1" fitToWidth="1" horizontalDpi="300" verticalDpi="300" orientation="landscape" scale="86" r:id="rId1"/>
  <headerFooter alignWithMargins="0">
    <oddHeader>&amp;CThe University of Alabama in Huntsville
Unit Academic Reports 
</oddHeader>
    <oddFooter>&amp;L&amp;8Office of Institutional Research
&amp;D (np)
&amp;F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workbookViewId="0" topLeftCell="A1">
      <selection activeCell="A2" sqref="A2"/>
    </sheetView>
  </sheetViews>
  <sheetFormatPr defaultColWidth="9.140625" defaultRowHeight="12.75" customHeight="1"/>
  <cols>
    <col min="1" max="1" width="25.7109375" style="3" customWidth="1"/>
    <col min="2" max="4" width="13.7109375" style="3" customWidth="1"/>
    <col min="5" max="8" width="15.7109375" style="3" customWidth="1"/>
    <col min="9" max="16384" width="9.140625" style="3" customWidth="1"/>
  </cols>
  <sheetData>
    <row r="1" spans="1:8" ht="12.75" customHeight="1">
      <c r="A1" s="61" t="s">
        <v>33</v>
      </c>
      <c r="B1" s="2"/>
      <c r="C1" s="2"/>
      <c r="D1" s="2"/>
      <c r="E1" s="2"/>
      <c r="F1"/>
      <c r="G1"/>
      <c r="H1"/>
    </row>
    <row r="2" spans="6:8" ht="12.75" customHeight="1">
      <c r="F2"/>
      <c r="G2"/>
      <c r="H2"/>
    </row>
    <row r="3" spans="1:8" ht="12.75" customHeight="1">
      <c r="A3" s="7" t="s">
        <v>17</v>
      </c>
      <c r="F3"/>
      <c r="G3"/>
      <c r="H3"/>
    </row>
    <row r="4" spans="1:7" s="27" customFormat="1" ht="12.75" customHeight="1">
      <c r="A4" s="7" t="s">
        <v>12</v>
      </c>
      <c r="B4" s="37" t="s">
        <v>16</v>
      </c>
      <c r="C4" s="37" t="s">
        <v>14</v>
      </c>
      <c r="D4" s="37" t="s">
        <v>15</v>
      </c>
      <c r="E4" s="28"/>
      <c r="F4" s="28"/>
      <c r="G4" s="28"/>
    </row>
    <row r="5" spans="2:7" ht="12.75" customHeight="1">
      <c r="B5" s="10"/>
      <c r="C5" s="10"/>
      <c r="D5" s="10"/>
      <c r="E5"/>
      <c r="F5"/>
      <c r="G5"/>
    </row>
    <row r="6" spans="1:7" s="2" customFormat="1" ht="12.75" customHeight="1">
      <c r="A6" s="52" t="s">
        <v>43</v>
      </c>
      <c r="B6" s="16">
        <v>10</v>
      </c>
      <c r="C6" s="16">
        <f>'PEN&amp;UND'!R7</f>
        <v>27</v>
      </c>
      <c r="D6" s="16">
        <f>4+24</f>
        <v>28</v>
      </c>
      <c r="E6" s="25"/>
      <c r="F6" s="25"/>
      <c r="G6" s="25"/>
    </row>
    <row r="7" spans="1:7" s="2" customFormat="1" ht="12.75" customHeight="1">
      <c r="A7" s="52" t="s">
        <v>46</v>
      </c>
      <c r="B7" s="16">
        <v>11</v>
      </c>
      <c r="C7" s="16">
        <f>'PEN&amp;UND'!R8</f>
        <v>49</v>
      </c>
      <c r="D7" s="16">
        <v>36</v>
      </c>
      <c r="E7" s="25"/>
      <c r="F7" s="25"/>
      <c r="G7" s="25"/>
    </row>
    <row r="8" spans="1:7" s="2" customFormat="1" ht="12.75" customHeight="1">
      <c r="A8" s="52" t="s">
        <v>49</v>
      </c>
      <c r="B8" s="16">
        <v>14</v>
      </c>
      <c r="C8" s="16">
        <f>'PEN&amp;UND'!R9</f>
        <v>61</v>
      </c>
      <c r="D8" s="16">
        <v>53</v>
      </c>
      <c r="E8" s="25"/>
      <c r="F8" s="25"/>
      <c r="G8" s="25"/>
    </row>
    <row r="9" spans="1:7" s="2" customFormat="1" ht="12.75" customHeight="1">
      <c r="A9" s="52" t="s">
        <v>58</v>
      </c>
      <c r="B9" s="16">
        <v>15</v>
      </c>
      <c r="C9" s="16">
        <f>'PEN&amp;UND'!R10</f>
        <v>53</v>
      </c>
      <c r="D9" s="16">
        <v>46</v>
      </c>
      <c r="E9" s="25"/>
      <c r="F9" s="25"/>
      <c r="G9" s="25"/>
    </row>
    <row r="10" spans="1:7" s="2" customFormat="1" ht="12.75" customHeight="1">
      <c r="A10" s="52" t="s">
        <v>60</v>
      </c>
      <c r="B10" s="16">
        <v>15</v>
      </c>
      <c r="C10" s="16">
        <f>'PEN&amp;UND'!R11</f>
        <v>58</v>
      </c>
      <c r="D10" s="16">
        <v>38</v>
      </c>
      <c r="E10" s="25"/>
      <c r="F10" s="25"/>
      <c r="G10" s="25"/>
    </row>
    <row r="11" spans="1:4" ht="12.75" customHeight="1">
      <c r="A11"/>
      <c r="B11" s="13"/>
      <c r="C11" s="13"/>
      <c r="D11" s="13"/>
    </row>
    <row r="12" spans="6:8" ht="12.75" customHeight="1">
      <c r="F12"/>
      <c r="G12"/>
      <c r="H12"/>
    </row>
    <row r="13" ht="12.75" customHeight="1"/>
    <row r="30" spans="1:9" s="2" customFormat="1" ht="12.75" customHeight="1">
      <c r="A30" s="3"/>
      <c r="B30" s="3"/>
      <c r="C30" s="3"/>
      <c r="D30" s="3"/>
      <c r="E30" s="3"/>
      <c r="F30" s="3"/>
      <c r="G30" s="3"/>
      <c r="H30" s="3"/>
      <c r="I30" s="3"/>
    </row>
  </sheetData>
  <printOptions/>
  <pageMargins left="1" right="0.25" top="1" bottom="0.75" header="0.5" footer="0.25"/>
  <pageSetup fitToHeight="1" fitToWidth="1" horizontalDpi="300" verticalDpi="300" orientation="landscape" r:id="rId1"/>
  <headerFooter alignWithMargins="0">
    <oddHeader>&amp;CThe University of Alabama in Huntsville
Unit Academic Reports 
</oddHeader>
    <oddFooter>&amp;L&amp;8Office of Institutional Research
&amp;D (np)
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9"/>
  <sheetViews>
    <sheetView workbookViewId="0" topLeftCell="A1">
      <selection activeCell="A2" sqref="A2"/>
    </sheetView>
  </sheetViews>
  <sheetFormatPr defaultColWidth="9.140625" defaultRowHeight="12.75" customHeight="1"/>
  <cols>
    <col min="1" max="1" width="18.7109375" style="3" customWidth="1"/>
    <col min="2" max="15" width="7.28125" style="3" customWidth="1"/>
    <col min="16" max="16" width="6.7109375" style="3" customWidth="1"/>
    <col min="17" max="16384" width="9.140625" style="3" customWidth="1"/>
  </cols>
  <sheetData>
    <row r="1" ht="12.75" customHeight="1">
      <c r="A1" s="18" t="s">
        <v>0</v>
      </c>
    </row>
    <row r="2" spans="2:16" ht="12.7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12.75" customHeight="1">
      <c r="A3" s="54" t="s">
        <v>63</v>
      </c>
      <c r="B3" s="34" t="s">
        <v>1</v>
      </c>
      <c r="C3" s="35"/>
      <c r="D3" s="34" t="s">
        <v>2</v>
      </c>
      <c r="E3" s="35"/>
      <c r="F3" s="34" t="s">
        <v>3</v>
      </c>
      <c r="G3" s="35"/>
      <c r="H3" s="34" t="s">
        <v>4</v>
      </c>
      <c r="I3" s="35"/>
      <c r="J3" s="34" t="s">
        <v>5</v>
      </c>
      <c r="K3" s="35"/>
      <c r="L3" s="127" t="s">
        <v>6</v>
      </c>
      <c r="M3" s="128"/>
      <c r="N3" s="34" t="s">
        <v>7</v>
      </c>
      <c r="O3" s="35"/>
      <c r="P3" s="30" t="s">
        <v>8</v>
      </c>
    </row>
    <row r="4" spans="1:16" ht="12.75" customHeight="1">
      <c r="A4" s="7"/>
      <c r="B4" s="31" t="s">
        <v>9</v>
      </c>
      <c r="C4" s="32" t="s">
        <v>10</v>
      </c>
      <c r="D4" s="31" t="s">
        <v>9</v>
      </c>
      <c r="E4" s="32" t="s">
        <v>10</v>
      </c>
      <c r="F4" s="31" t="s">
        <v>9</v>
      </c>
      <c r="G4" s="32" t="s">
        <v>10</v>
      </c>
      <c r="H4" s="31" t="s">
        <v>9</v>
      </c>
      <c r="I4" s="32" t="s">
        <v>10</v>
      </c>
      <c r="J4" s="31" t="s">
        <v>9</v>
      </c>
      <c r="K4" s="32" t="s">
        <v>10</v>
      </c>
      <c r="L4" s="31" t="s">
        <v>9</v>
      </c>
      <c r="M4" s="32" t="s">
        <v>10</v>
      </c>
      <c r="N4" s="31" t="s">
        <v>9</v>
      </c>
      <c r="O4" s="32" t="s">
        <v>10</v>
      </c>
      <c r="P4" s="33" t="s">
        <v>7</v>
      </c>
    </row>
    <row r="5" spans="1:16" ht="12.75" customHeight="1">
      <c r="A5" s="7"/>
      <c r="B5" s="14"/>
      <c r="C5" s="15"/>
      <c r="D5" s="14"/>
      <c r="E5" s="15"/>
      <c r="F5" s="14"/>
      <c r="G5" s="15"/>
      <c r="H5" s="14"/>
      <c r="I5" s="15"/>
      <c r="J5" s="14"/>
      <c r="K5" s="15"/>
      <c r="L5" s="14"/>
      <c r="M5" s="15"/>
      <c r="N5" s="14"/>
      <c r="O5" s="15"/>
      <c r="P5" s="16"/>
    </row>
    <row r="6" spans="1:16" s="2" customFormat="1" ht="12.75" customHeight="1">
      <c r="A6" s="17" t="s">
        <v>43</v>
      </c>
      <c r="B6" s="44">
        <v>3</v>
      </c>
      <c r="C6" s="48">
        <v>3</v>
      </c>
      <c r="D6" s="44">
        <v>0</v>
      </c>
      <c r="E6" s="48">
        <v>1</v>
      </c>
      <c r="F6" s="44">
        <v>0</v>
      </c>
      <c r="G6" s="48">
        <v>0</v>
      </c>
      <c r="H6" s="44">
        <v>0</v>
      </c>
      <c r="I6" s="48">
        <v>0</v>
      </c>
      <c r="J6" s="44">
        <v>0</v>
      </c>
      <c r="K6" s="48">
        <v>0</v>
      </c>
      <c r="L6" s="44">
        <v>1</v>
      </c>
      <c r="M6" s="48">
        <v>1</v>
      </c>
      <c r="N6" s="44">
        <f aca="true" t="shared" si="0" ref="N6:O10">L6+J6+H6+F6+D6+B6</f>
        <v>4</v>
      </c>
      <c r="O6" s="48">
        <f t="shared" si="0"/>
        <v>5</v>
      </c>
      <c r="P6" s="46">
        <f>O6+N6</f>
        <v>9</v>
      </c>
    </row>
    <row r="7" spans="1:16" s="2" customFormat="1" ht="12.75" customHeight="1">
      <c r="A7" s="52" t="s">
        <v>46</v>
      </c>
      <c r="B7" s="44">
        <v>2</v>
      </c>
      <c r="C7" s="48">
        <v>1</v>
      </c>
      <c r="D7" s="44">
        <v>0</v>
      </c>
      <c r="E7" s="48">
        <v>0</v>
      </c>
      <c r="F7" s="44">
        <v>0</v>
      </c>
      <c r="G7" s="48">
        <v>0</v>
      </c>
      <c r="H7" s="44">
        <v>0</v>
      </c>
      <c r="I7" s="48">
        <v>0</v>
      </c>
      <c r="J7" s="44">
        <v>0</v>
      </c>
      <c r="K7" s="48">
        <v>0</v>
      </c>
      <c r="L7" s="44">
        <v>1</v>
      </c>
      <c r="M7" s="48">
        <v>1</v>
      </c>
      <c r="N7" s="44">
        <f t="shared" si="0"/>
        <v>3</v>
      </c>
      <c r="O7" s="48">
        <f t="shared" si="0"/>
        <v>2</v>
      </c>
      <c r="P7" s="46">
        <f>O7+N7</f>
        <v>5</v>
      </c>
    </row>
    <row r="8" spans="1:16" s="2" customFormat="1" ht="12.75" customHeight="1">
      <c r="A8" s="52" t="s">
        <v>49</v>
      </c>
      <c r="B8" s="44">
        <v>2</v>
      </c>
      <c r="C8" s="48">
        <v>3</v>
      </c>
      <c r="D8" s="44">
        <v>0</v>
      </c>
      <c r="E8" s="48">
        <v>0</v>
      </c>
      <c r="F8" s="44">
        <v>0</v>
      </c>
      <c r="G8" s="48">
        <v>0</v>
      </c>
      <c r="H8" s="44">
        <v>0</v>
      </c>
      <c r="I8" s="48">
        <v>0</v>
      </c>
      <c r="J8" s="44">
        <v>0</v>
      </c>
      <c r="K8" s="48">
        <v>0</v>
      </c>
      <c r="L8" s="44">
        <v>0</v>
      </c>
      <c r="M8" s="48">
        <v>0</v>
      </c>
      <c r="N8" s="44">
        <f t="shared" si="0"/>
        <v>2</v>
      </c>
      <c r="O8" s="48">
        <f t="shared" si="0"/>
        <v>3</v>
      </c>
      <c r="P8" s="46">
        <f>O8+N8</f>
        <v>5</v>
      </c>
    </row>
    <row r="9" spans="1:16" s="2" customFormat="1" ht="12.75" customHeight="1">
      <c r="A9" s="52" t="s">
        <v>58</v>
      </c>
      <c r="B9" s="44">
        <v>1</v>
      </c>
      <c r="C9" s="48">
        <v>0</v>
      </c>
      <c r="D9" s="44">
        <v>0</v>
      </c>
      <c r="E9" s="48">
        <v>0</v>
      </c>
      <c r="F9" s="44">
        <v>0</v>
      </c>
      <c r="G9" s="48">
        <v>0</v>
      </c>
      <c r="H9" s="44">
        <v>0</v>
      </c>
      <c r="I9" s="48">
        <v>0</v>
      </c>
      <c r="J9" s="44">
        <v>0</v>
      </c>
      <c r="K9" s="48">
        <v>0</v>
      </c>
      <c r="L9" s="44">
        <v>0</v>
      </c>
      <c r="M9" s="48">
        <v>2</v>
      </c>
      <c r="N9" s="44">
        <f t="shared" si="0"/>
        <v>1</v>
      </c>
      <c r="O9" s="48">
        <f t="shared" si="0"/>
        <v>2</v>
      </c>
      <c r="P9" s="46">
        <f>O9+N9</f>
        <v>3</v>
      </c>
    </row>
    <row r="10" spans="1:16" s="2" customFormat="1" ht="12.75" customHeight="1">
      <c r="A10" s="52" t="s">
        <v>60</v>
      </c>
      <c r="B10" s="44">
        <v>10</v>
      </c>
      <c r="C10" s="48">
        <v>3</v>
      </c>
      <c r="D10" s="44">
        <v>1</v>
      </c>
      <c r="E10" s="48">
        <v>0</v>
      </c>
      <c r="F10" s="44">
        <v>0</v>
      </c>
      <c r="G10" s="48">
        <v>0</v>
      </c>
      <c r="H10" s="44">
        <v>0</v>
      </c>
      <c r="I10" s="48">
        <v>0</v>
      </c>
      <c r="J10" s="44">
        <v>0</v>
      </c>
      <c r="K10" s="48">
        <v>0</v>
      </c>
      <c r="L10" s="44">
        <v>0</v>
      </c>
      <c r="M10" s="48">
        <v>1</v>
      </c>
      <c r="N10" s="44">
        <f t="shared" si="0"/>
        <v>11</v>
      </c>
      <c r="O10" s="48">
        <f t="shared" si="0"/>
        <v>4</v>
      </c>
      <c r="P10" s="46">
        <f>O10+N10</f>
        <v>15</v>
      </c>
    </row>
    <row r="11" spans="1:16" ht="12.75" customHeight="1">
      <c r="A11" s="7"/>
      <c r="B11" s="11"/>
      <c r="C11" s="20"/>
      <c r="D11" s="11"/>
      <c r="E11" s="20"/>
      <c r="F11" s="11"/>
      <c r="G11" s="20"/>
      <c r="H11" s="11"/>
      <c r="I11" s="20"/>
      <c r="J11" s="11"/>
      <c r="K11" s="20"/>
      <c r="L11" s="11"/>
      <c r="M11" s="20"/>
      <c r="N11" s="11"/>
      <c r="O11" s="20"/>
      <c r="P11" s="13"/>
    </row>
    <row r="13" spans="1:16" ht="12.75" customHeight="1">
      <c r="A13" s="7" t="s">
        <v>62</v>
      </c>
      <c r="B13" s="34" t="s">
        <v>1</v>
      </c>
      <c r="C13" s="35"/>
      <c r="D13" s="34" t="s">
        <v>2</v>
      </c>
      <c r="E13" s="35"/>
      <c r="F13" s="34" t="s">
        <v>3</v>
      </c>
      <c r="G13" s="35"/>
      <c r="H13" s="34" t="s">
        <v>4</v>
      </c>
      <c r="I13" s="35"/>
      <c r="J13" s="34" t="s">
        <v>5</v>
      </c>
      <c r="K13" s="35"/>
      <c r="L13" s="127" t="s">
        <v>6</v>
      </c>
      <c r="M13" s="128"/>
      <c r="N13" s="34" t="s">
        <v>7</v>
      </c>
      <c r="O13" s="35"/>
      <c r="P13" s="30" t="s">
        <v>8</v>
      </c>
    </row>
    <row r="14" spans="1:16" ht="12.75" customHeight="1">
      <c r="A14" s="7"/>
      <c r="B14" s="31" t="s">
        <v>9</v>
      </c>
      <c r="C14" s="32" t="s">
        <v>10</v>
      </c>
      <c r="D14" s="31" t="s">
        <v>9</v>
      </c>
      <c r="E14" s="32" t="s">
        <v>10</v>
      </c>
      <c r="F14" s="31" t="s">
        <v>9</v>
      </c>
      <c r="G14" s="32" t="s">
        <v>10</v>
      </c>
      <c r="H14" s="31" t="s">
        <v>9</v>
      </c>
      <c r="I14" s="32" t="s">
        <v>10</v>
      </c>
      <c r="J14" s="31" t="s">
        <v>9</v>
      </c>
      <c r="K14" s="32" t="s">
        <v>10</v>
      </c>
      <c r="L14" s="31" t="s">
        <v>9</v>
      </c>
      <c r="M14" s="32" t="s">
        <v>10</v>
      </c>
      <c r="N14" s="31" t="s">
        <v>9</v>
      </c>
      <c r="O14" s="32" t="s">
        <v>10</v>
      </c>
      <c r="P14" s="33" t="s">
        <v>7</v>
      </c>
    </row>
    <row r="15" spans="1:16" ht="12.75" customHeight="1">
      <c r="A15" s="7"/>
      <c r="B15" s="14"/>
      <c r="C15" s="15"/>
      <c r="D15" s="14"/>
      <c r="E15" s="15"/>
      <c r="F15" s="14"/>
      <c r="G15" s="15"/>
      <c r="H15" s="14"/>
      <c r="I15" s="15"/>
      <c r="J15" s="14"/>
      <c r="K15" s="15"/>
      <c r="L15" s="14"/>
      <c r="M15" s="15"/>
      <c r="N15" s="14"/>
      <c r="O15" s="15"/>
      <c r="P15" s="16"/>
    </row>
    <row r="16" spans="1:16" s="2" customFormat="1" ht="12.75" customHeight="1">
      <c r="A16" s="17" t="s">
        <v>43</v>
      </c>
      <c r="B16" s="44">
        <v>0</v>
      </c>
      <c r="C16" s="48">
        <v>1</v>
      </c>
      <c r="D16" s="44">
        <v>0</v>
      </c>
      <c r="E16" s="48">
        <v>0</v>
      </c>
      <c r="F16" s="44">
        <v>0</v>
      </c>
      <c r="G16" s="48">
        <v>0</v>
      </c>
      <c r="H16" s="44">
        <v>0</v>
      </c>
      <c r="I16" s="48">
        <v>0</v>
      </c>
      <c r="J16" s="44">
        <v>0</v>
      </c>
      <c r="K16" s="48">
        <v>0</v>
      </c>
      <c r="L16" s="44">
        <v>0</v>
      </c>
      <c r="M16" s="48">
        <v>1</v>
      </c>
      <c r="N16" s="44">
        <f aca="true" t="shared" si="1" ref="N16:O20">L16+J16+H16+F16+D16+B16</f>
        <v>0</v>
      </c>
      <c r="O16" s="48">
        <f t="shared" si="1"/>
        <v>2</v>
      </c>
      <c r="P16" s="46">
        <f>O16+N16</f>
        <v>2</v>
      </c>
    </row>
    <row r="17" spans="1:16" s="2" customFormat="1" ht="12.75" customHeight="1">
      <c r="A17" s="52" t="s">
        <v>46</v>
      </c>
      <c r="B17" s="44">
        <v>1</v>
      </c>
      <c r="C17" s="48">
        <v>0</v>
      </c>
      <c r="D17" s="44">
        <v>0</v>
      </c>
      <c r="E17" s="48">
        <v>0</v>
      </c>
      <c r="F17" s="44">
        <v>0</v>
      </c>
      <c r="G17" s="48">
        <v>0</v>
      </c>
      <c r="H17" s="44">
        <v>0</v>
      </c>
      <c r="I17" s="48">
        <v>0</v>
      </c>
      <c r="J17" s="44">
        <v>0</v>
      </c>
      <c r="K17" s="48">
        <v>0</v>
      </c>
      <c r="L17" s="44">
        <v>2</v>
      </c>
      <c r="M17" s="48">
        <v>1</v>
      </c>
      <c r="N17" s="44">
        <f t="shared" si="1"/>
        <v>3</v>
      </c>
      <c r="O17" s="48">
        <f t="shared" si="1"/>
        <v>1</v>
      </c>
      <c r="P17" s="46">
        <f>O17+N17</f>
        <v>4</v>
      </c>
    </row>
    <row r="18" spans="1:16" s="2" customFormat="1" ht="12.75" customHeight="1">
      <c r="A18" s="52" t="s">
        <v>49</v>
      </c>
      <c r="B18" s="44">
        <v>1</v>
      </c>
      <c r="C18" s="48">
        <v>0</v>
      </c>
      <c r="D18" s="44">
        <v>0</v>
      </c>
      <c r="E18" s="48">
        <v>0</v>
      </c>
      <c r="F18" s="44">
        <v>0</v>
      </c>
      <c r="G18" s="48">
        <v>0</v>
      </c>
      <c r="H18" s="44">
        <v>0</v>
      </c>
      <c r="I18" s="48">
        <v>0</v>
      </c>
      <c r="J18" s="44">
        <v>0</v>
      </c>
      <c r="K18" s="48">
        <v>0</v>
      </c>
      <c r="L18" s="44">
        <v>0</v>
      </c>
      <c r="M18" s="48">
        <v>1</v>
      </c>
      <c r="N18" s="44">
        <f t="shared" si="1"/>
        <v>1</v>
      </c>
      <c r="O18" s="48">
        <f t="shared" si="1"/>
        <v>1</v>
      </c>
      <c r="P18" s="46">
        <f>O18+N18</f>
        <v>2</v>
      </c>
    </row>
    <row r="19" spans="1:16" s="2" customFormat="1" ht="12.75" customHeight="1">
      <c r="A19" s="52" t="s">
        <v>58</v>
      </c>
      <c r="B19" s="44">
        <v>1</v>
      </c>
      <c r="C19" s="48">
        <v>0</v>
      </c>
      <c r="D19" s="44">
        <v>0</v>
      </c>
      <c r="E19" s="48">
        <v>0</v>
      </c>
      <c r="F19" s="44">
        <v>0</v>
      </c>
      <c r="G19" s="48">
        <v>0</v>
      </c>
      <c r="H19" s="44">
        <v>0</v>
      </c>
      <c r="I19" s="48">
        <v>0</v>
      </c>
      <c r="J19" s="44">
        <v>0</v>
      </c>
      <c r="K19" s="48">
        <v>0</v>
      </c>
      <c r="L19" s="44">
        <v>2</v>
      </c>
      <c r="M19" s="48">
        <v>0</v>
      </c>
      <c r="N19" s="44">
        <f t="shared" si="1"/>
        <v>3</v>
      </c>
      <c r="O19" s="48">
        <f t="shared" si="1"/>
        <v>0</v>
      </c>
      <c r="P19" s="46">
        <f>O19+N19</f>
        <v>3</v>
      </c>
    </row>
    <row r="20" spans="1:16" s="2" customFormat="1" ht="12.75" customHeight="1">
      <c r="A20" s="52" t="s">
        <v>60</v>
      </c>
      <c r="B20" s="44">
        <v>2</v>
      </c>
      <c r="C20" s="48">
        <v>0</v>
      </c>
      <c r="D20" s="44">
        <v>0</v>
      </c>
      <c r="E20" s="48">
        <v>0</v>
      </c>
      <c r="F20" s="44">
        <v>0</v>
      </c>
      <c r="G20" s="48">
        <v>0</v>
      </c>
      <c r="H20" s="44">
        <v>0</v>
      </c>
      <c r="I20" s="48">
        <v>0</v>
      </c>
      <c r="J20" s="44">
        <v>0</v>
      </c>
      <c r="K20" s="48">
        <v>0</v>
      </c>
      <c r="L20" s="44">
        <v>1</v>
      </c>
      <c r="M20" s="48">
        <v>0</v>
      </c>
      <c r="N20" s="44">
        <f t="shared" si="1"/>
        <v>3</v>
      </c>
      <c r="O20" s="48">
        <f t="shared" si="1"/>
        <v>0</v>
      </c>
      <c r="P20" s="46">
        <f>O20+N20</f>
        <v>3</v>
      </c>
    </row>
    <row r="21" spans="1:16" ht="12.75" customHeight="1">
      <c r="A21" s="7"/>
      <c r="B21" s="11"/>
      <c r="C21" s="20"/>
      <c r="D21" s="11"/>
      <c r="E21" s="20"/>
      <c r="F21" s="11"/>
      <c r="G21" s="20"/>
      <c r="H21" s="11"/>
      <c r="I21" s="20"/>
      <c r="J21" s="11"/>
      <c r="K21" s="20"/>
      <c r="L21" s="11"/>
      <c r="M21" s="20"/>
      <c r="N21" s="11"/>
      <c r="O21" s="20"/>
      <c r="P21" s="13"/>
    </row>
    <row r="23" ht="12.75" customHeight="1">
      <c r="A23" s="7" t="s">
        <v>11</v>
      </c>
    </row>
    <row r="24" spans="1:16" s="27" customFormat="1" ht="12.75" customHeight="1">
      <c r="A24" s="7" t="s">
        <v>12</v>
      </c>
      <c r="B24" s="34" t="s">
        <v>1</v>
      </c>
      <c r="C24" s="35"/>
      <c r="D24" s="34" t="s">
        <v>2</v>
      </c>
      <c r="E24" s="35"/>
      <c r="F24" s="34" t="s">
        <v>3</v>
      </c>
      <c r="G24" s="35"/>
      <c r="H24" s="34" t="s">
        <v>4</v>
      </c>
      <c r="I24" s="35"/>
      <c r="J24" s="34" t="s">
        <v>5</v>
      </c>
      <c r="K24" s="35"/>
      <c r="L24" s="127" t="s">
        <v>6</v>
      </c>
      <c r="M24" s="128"/>
      <c r="N24" s="34" t="s">
        <v>7</v>
      </c>
      <c r="O24" s="35"/>
      <c r="P24" s="30" t="s">
        <v>8</v>
      </c>
    </row>
    <row r="25" spans="1:16" s="27" customFormat="1" ht="12.75" customHeight="1">
      <c r="A25" s="7" t="s">
        <v>13</v>
      </c>
      <c r="B25" s="31" t="s">
        <v>9</v>
      </c>
      <c r="C25" s="32" t="s">
        <v>10</v>
      </c>
      <c r="D25" s="31" t="s">
        <v>9</v>
      </c>
      <c r="E25" s="32" t="s">
        <v>10</v>
      </c>
      <c r="F25" s="31" t="s">
        <v>9</v>
      </c>
      <c r="G25" s="32" t="s">
        <v>10</v>
      </c>
      <c r="H25" s="31" t="s">
        <v>9</v>
      </c>
      <c r="I25" s="32" t="s">
        <v>10</v>
      </c>
      <c r="J25" s="31" t="s">
        <v>9</v>
      </c>
      <c r="K25" s="32" t="s">
        <v>10</v>
      </c>
      <c r="L25" s="31" t="s">
        <v>9</v>
      </c>
      <c r="M25" s="32" t="s">
        <v>10</v>
      </c>
      <c r="N25" s="31" t="s">
        <v>9</v>
      </c>
      <c r="O25" s="32" t="s">
        <v>10</v>
      </c>
      <c r="P25" s="33" t="s">
        <v>7</v>
      </c>
    </row>
    <row r="26" spans="1:16" ht="12.75" customHeight="1">
      <c r="A26" s="7"/>
      <c r="B26" s="14"/>
      <c r="C26" s="15"/>
      <c r="D26" s="14"/>
      <c r="E26" s="15"/>
      <c r="F26" s="14"/>
      <c r="G26" s="15"/>
      <c r="H26" s="14"/>
      <c r="I26" s="15"/>
      <c r="J26" s="14"/>
      <c r="K26" s="15"/>
      <c r="L26" s="14"/>
      <c r="M26" s="15"/>
      <c r="N26" s="14"/>
      <c r="O26" s="15"/>
      <c r="P26" s="16"/>
    </row>
    <row r="27" spans="1:16" s="2" customFormat="1" ht="12.75" customHeight="1">
      <c r="A27" s="17" t="s">
        <v>43</v>
      </c>
      <c r="B27" s="44">
        <v>13</v>
      </c>
      <c r="C27" s="48">
        <v>10</v>
      </c>
      <c r="D27" s="44">
        <v>0</v>
      </c>
      <c r="E27" s="48">
        <v>3</v>
      </c>
      <c r="F27" s="44">
        <v>0</v>
      </c>
      <c r="G27" s="48">
        <v>1</v>
      </c>
      <c r="H27" s="44">
        <v>0</v>
      </c>
      <c r="I27" s="48">
        <v>0</v>
      </c>
      <c r="J27" s="44">
        <v>0</v>
      </c>
      <c r="K27" s="48">
        <v>0</v>
      </c>
      <c r="L27" s="44">
        <v>8</v>
      </c>
      <c r="M27" s="48">
        <v>6</v>
      </c>
      <c r="N27" s="44">
        <f aca="true" t="shared" si="2" ref="N27:O31">L27+J27+H27+F27+D27+B27</f>
        <v>21</v>
      </c>
      <c r="O27" s="48">
        <f t="shared" si="2"/>
        <v>20</v>
      </c>
      <c r="P27" s="46">
        <f>O27+N27</f>
        <v>41</v>
      </c>
    </row>
    <row r="28" spans="1:16" s="2" customFormat="1" ht="12.75" customHeight="1">
      <c r="A28" s="52" t="s">
        <v>46</v>
      </c>
      <c r="B28" s="44">
        <v>19</v>
      </c>
      <c r="C28" s="48">
        <v>5</v>
      </c>
      <c r="D28" s="44">
        <v>1</v>
      </c>
      <c r="E28" s="48">
        <v>1</v>
      </c>
      <c r="F28" s="44">
        <v>0</v>
      </c>
      <c r="G28" s="48">
        <v>0</v>
      </c>
      <c r="H28" s="44">
        <v>0</v>
      </c>
      <c r="I28" s="48">
        <v>0</v>
      </c>
      <c r="J28" s="44">
        <v>0</v>
      </c>
      <c r="K28" s="48">
        <v>0</v>
      </c>
      <c r="L28" s="44">
        <v>6</v>
      </c>
      <c r="M28" s="48">
        <v>5</v>
      </c>
      <c r="N28" s="44">
        <f t="shared" si="2"/>
        <v>26</v>
      </c>
      <c r="O28" s="48">
        <f t="shared" si="2"/>
        <v>11</v>
      </c>
      <c r="P28" s="46">
        <f>O28+N28</f>
        <v>37</v>
      </c>
    </row>
    <row r="29" spans="1:16" s="2" customFormat="1" ht="12.75" customHeight="1">
      <c r="A29" s="52" t="s">
        <v>49</v>
      </c>
      <c r="B29" s="44">
        <v>23</v>
      </c>
      <c r="C29" s="48">
        <v>13</v>
      </c>
      <c r="D29" s="44">
        <v>1</v>
      </c>
      <c r="E29" s="48">
        <v>0</v>
      </c>
      <c r="F29" s="44">
        <v>0</v>
      </c>
      <c r="G29" s="48">
        <v>0</v>
      </c>
      <c r="H29" s="44">
        <v>1</v>
      </c>
      <c r="I29" s="48">
        <v>0</v>
      </c>
      <c r="J29" s="44">
        <v>0</v>
      </c>
      <c r="K29" s="48">
        <v>0</v>
      </c>
      <c r="L29" s="44">
        <v>5</v>
      </c>
      <c r="M29" s="48">
        <v>6</v>
      </c>
      <c r="N29" s="44">
        <f t="shared" si="2"/>
        <v>30</v>
      </c>
      <c r="O29" s="48">
        <f t="shared" si="2"/>
        <v>19</v>
      </c>
      <c r="P29" s="46">
        <f>O29+N29</f>
        <v>49</v>
      </c>
    </row>
    <row r="30" spans="1:16" s="2" customFormat="1" ht="12.75" customHeight="1">
      <c r="A30" s="52" t="s">
        <v>58</v>
      </c>
      <c r="B30" s="44">
        <v>26</v>
      </c>
      <c r="C30" s="48">
        <v>10</v>
      </c>
      <c r="D30" s="44">
        <v>1</v>
      </c>
      <c r="E30" s="48">
        <v>1</v>
      </c>
      <c r="F30" s="44">
        <v>0</v>
      </c>
      <c r="G30" s="48">
        <v>2</v>
      </c>
      <c r="H30" s="44">
        <v>0</v>
      </c>
      <c r="I30" s="48">
        <v>0</v>
      </c>
      <c r="J30" s="44">
        <v>0</v>
      </c>
      <c r="K30" s="48">
        <v>0</v>
      </c>
      <c r="L30" s="44">
        <v>7</v>
      </c>
      <c r="M30" s="48">
        <v>8</v>
      </c>
      <c r="N30" s="44">
        <f t="shared" si="2"/>
        <v>34</v>
      </c>
      <c r="O30" s="48">
        <f t="shared" si="2"/>
        <v>21</v>
      </c>
      <c r="P30" s="46">
        <f>O30+N30</f>
        <v>55</v>
      </c>
    </row>
    <row r="31" spans="1:16" s="2" customFormat="1" ht="12.75" customHeight="1">
      <c r="A31" s="52" t="s">
        <v>60</v>
      </c>
      <c r="B31" s="44">
        <v>25</v>
      </c>
      <c r="C31" s="48">
        <v>13</v>
      </c>
      <c r="D31" s="44">
        <v>1</v>
      </c>
      <c r="E31" s="48">
        <v>1</v>
      </c>
      <c r="F31" s="44">
        <v>0</v>
      </c>
      <c r="G31" s="48">
        <v>1</v>
      </c>
      <c r="H31" s="44">
        <v>0</v>
      </c>
      <c r="I31" s="48">
        <v>0</v>
      </c>
      <c r="J31" s="44">
        <v>0</v>
      </c>
      <c r="K31" s="48">
        <v>0</v>
      </c>
      <c r="L31" s="44">
        <v>5</v>
      </c>
      <c r="M31" s="48">
        <v>9</v>
      </c>
      <c r="N31" s="44">
        <f t="shared" si="2"/>
        <v>31</v>
      </c>
      <c r="O31" s="48">
        <f t="shared" si="2"/>
        <v>24</v>
      </c>
      <c r="P31" s="46">
        <f>O31+N31</f>
        <v>55</v>
      </c>
    </row>
    <row r="32" spans="1:16" ht="12.75" customHeight="1">
      <c r="A32" s="7"/>
      <c r="B32" s="11"/>
      <c r="C32" s="20"/>
      <c r="D32" s="11"/>
      <c r="E32" s="20"/>
      <c r="F32" s="11"/>
      <c r="G32" s="20"/>
      <c r="H32" s="11"/>
      <c r="I32" s="20"/>
      <c r="J32" s="11"/>
      <c r="K32" s="20"/>
      <c r="L32" s="11"/>
      <c r="M32" s="20"/>
      <c r="N32" s="11"/>
      <c r="O32" s="20"/>
      <c r="P32" s="13"/>
    </row>
    <row r="34" s="38" customFormat="1" ht="12.75" customHeight="1"/>
    <row r="35" ht="12.75" customHeight="1">
      <c r="A35" s="27"/>
    </row>
    <row r="36" ht="12.75" customHeight="1">
      <c r="A36" s="38"/>
    </row>
    <row r="69" spans="1:16" s="2" customFormat="1" ht="12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</row>
  </sheetData>
  <mergeCells count="3">
    <mergeCell ref="L24:M24"/>
    <mergeCell ref="L13:M13"/>
    <mergeCell ref="L3:M3"/>
  </mergeCells>
  <printOptions/>
  <pageMargins left="1" right="0.25" top="1" bottom="0.75" header="0.5" footer="0.25"/>
  <pageSetup fitToHeight="1" fitToWidth="1" horizontalDpi="300" verticalDpi="300" orientation="landscape" scale="97" r:id="rId1"/>
  <headerFooter alignWithMargins="0">
    <oddHeader>&amp;CThe University of Alabama in Huntsville
Unit Academic Reports 
</oddHeader>
    <oddFooter>&amp;L&amp;8Office of Institutional Research
&amp;D (np)
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6"/>
  <sheetViews>
    <sheetView workbookViewId="0" topLeftCell="A1">
      <selection activeCell="A2" sqref="A2"/>
    </sheetView>
  </sheetViews>
  <sheetFormatPr defaultColWidth="9.140625" defaultRowHeight="12.75" customHeight="1"/>
  <cols>
    <col min="1" max="1" width="25.7109375" style="27" customWidth="1"/>
    <col min="2" max="8" width="14.7109375" style="3" customWidth="1"/>
    <col min="9" max="16384" width="9.140625" style="3" customWidth="1"/>
  </cols>
  <sheetData>
    <row r="1" ht="12.75" customHeight="1">
      <c r="A1" s="1" t="s">
        <v>0</v>
      </c>
    </row>
    <row r="2" ht="12.75" customHeight="1">
      <c r="A2" s="1"/>
    </row>
    <row r="3" ht="12.75" customHeight="1">
      <c r="A3" s="7" t="s">
        <v>11</v>
      </c>
    </row>
    <row r="4" spans="1:4" s="38" customFormat="1" ht="12.75" customHeight="1">
      <c r="A4" s="26" t="s">
        <v>12</v>
      </c>
      <c r="B4" s="37" t="s">
        <v>16</v>
      </c>
      <c r="C4" s="37" t="s">
        <v>14</v>
      </c>
      <c r="D4" s="37" t="s">
        <v>15</v>
      </c>
    </row>
    <row r="5" spans="2:4" ht="12.75" customHeight="1">
      <c r="B5" s="10"/>
      <c r="C5" s="10"/>
      <c r="D5" s="10"/>
    </row>
    <row r="6" spans="1:4" s="2" customFormat="1" ht="12.75" customHeight="1">
      <c r="A6" s="7" t="s">
        <v>43</v>
      </c>
      <c r="B6" s="14">
        <v>28</v>
      </c>
      <c r="C6" s="14">
        <f>ATS!P27</f>
        <v>41</v>
      </c>
      <c r="D6" s="16">
        <v>38</v>
      </c>
    </row>
    <row r="7" spans="1:4" s="2" customFormat="1" ht="12.75" customHeight="1">
      <c r="A7" s="7" t="s">
        <v>46</v>
      </c>
      <c r="B7" s="14">
        <v>22</v>
      </c>
      <c r="C7" s="14">
        <f>ATS!P28</f>
        <v>37</v>
      </c>
      <c r="D7" s="16">
        <v>35</v>
      </c>
    </row>
    <row r="8" spans="1:4" s="2" customFormat="1" ht="12.75" customHeight="1">
      <c r="A8" s="52" t="s">
        <v>49</v>
      </c>
      <c r="B8" s="14">
        <v>22</v>
      </c>
      <c r="C8" s="14">
        <f>ATS!P29</f>
        <v>49</v>
      </c>
      <c r="D8" s="16">
        <v>46</v>
      </c>
    </row>
    <row r="9" spans="1:4" s="2" customFormat="1" ht="12.75" customHeight="1">
      <c r="A9" s="52" t="s">
        <v>58</v>
      </c>
      <c r="B9" s="14">
        <v>42</v>
      </c>
      <c r="C9" s="14">
        <f>ATS!P30</f>
        <v>55</v>
      </c>
      <c r="D9" s="16">
        <v>53</v>
      </c>
    </row>
    <row r="10" spans="1:4" s="2" customFormat="1" ht="12.75" customHeight="1">
      <c r="A10" s="52" t="s">
        <v>60</v>
      </c>
      <c r="B10" s="14">
        <v>43</v>
      </c>
      <c r="C10" s="14">
        <f>ATS!P31</f>
        <v>55</v>
      </c>
      <c r="D10" s="16">
        <v>49</v>
      </c>
    </row>
    <row r="11" spans="1:4" ht="12.75" customHeight="1">
      <c r="A11" s="7"/>
      <c r="B11" s="8"/>
      <c r="C11" s="8"/>
      <c r="D11" s="9"/>
    </row>
    <row r="13" spans="1:8" s="27" customFormat="1" ht="12.75" customHeight="1">
      <c r="A13" s="7" t="s">
        <v>48</v>
      </c>
      <c r="B13" s="36" t="s">
        <v>17</v>
      </c>
      <c r="C13" s="36" t="s">
        <v>17</v>
      </c>
      <c r="D13" s="36" t="s">
        <v>7</v>
      </c>
      <c r="E13" s="36" t="s">
        <v>11</v>
      </c>
      <c r="F13" s="36" t="s">
        <v>11</v>
      </c>
      <c r="G13" s="30" t="s">
        <v>7</v>
      </c>
      <c r="H13" s="30" t="s">
        <v>8</v>
      </c>
    </row>
    <row r="14" spans="1:8" s="27" customFormat="1" ht="12.75" customHeight="1">
      <c r="A14" s="28"/>
      <c r="B14" s="31" t="s">
        <v>18</v>
      </c>
      <c r="C14" s="31" t="s">
        <v>19</v>
      </c>
      <c r="D14" s="31" t="s">
        <v>17</v>
      </c>
      <c r="E14" s="31" t="s">
        <v>20</v>
      </c>
      <c r="F14" s="31" t="s">
        <v>21</v>
      </c>
      <c r="G14" s="33" t="s">
        <v>11</v>
      </c>
      <c r="H14" s="33" t="s">
        <v>7</v>
      </c>
    </row>
    <row r="15" spans="2:8" ht="12.75" customHeight="1">
      <c r="B15" s="4"/>
      <c r="C15" s="4"/>
      <c r="D15" s="4"/>
      <c r="E15" s="4"/>
      <c r="F15" s="4"/>
      <c r="G15" s="4"/>
      <c r="H15" s="10"/>
    </row>
    <row r="16" spans="1:8" ht="12.75" customHeight="1">
      <c r="A16" s="7" t="s">
        <v>43</v>
      </c>
      <c r="B16" s="50">
        <v>0</v>
      </c>
      <c r="C16" s="50">
        <v>27</v>
      </c>
      <c r="D16" s="50">
        <f>C16+B16</f>
        <v>27</v>
      </c>
      <c r="E16" s="50">
        <v>486</v>
      </c>
      <c r="F16" s="50">
        <v>267</v>
      </c>
      <c r="G16" s="50">
        <f>F16+E16</f>
        <v>753</v>
      </c>
      <c r="H16" s="51">
        <f>G16+D16</f>
        <v>780</v>
      </c>
    </row>
    <row r="17" spans="1:8" ht="12.75" customHeight="1">
      <c r="A17" s="52" t="s">
        <v>46</v>
      </c>
      <c r="B17" s="50">
        <v>0</v>
      </c>
      <c r="C17" s="50">
        <f>21+3</f>
        <v>24</v>
      </c>
      <c r="D17" s="50">
        <f>C17+B17</f>
        <v>24</v>
      </c>
      <c r="E17" s="50">
        <f>60+147+129</f>
        <v>336</v>
      </c>
      <c r="F17" s="50">
        <f>54+146+139</f>
        <v>339</v>
      </c>
      <c r="G17" s="50">
        <f>F17+E17</f>
        <v>675</v>
      </c>
      <c r="H17" s="51">
        <f>G17+D17</f>
        <v>699</v>
      </c>
    </row>
    <row r="18" spans="1:8" ht="12.75" customHeight="1">
      <c r="A18" s="52" t="s">
        <v>49</v>
      </c>
      <c r="B18" s="50">
        <v>0</v>
      </c>
      <c r="C18" s="50">
        <v>30</v>
      </c>
      <c r="D18" s="50">
        <f>C18+B18</f>
        <v>30</v>
      </c>
      <c r="E18" s="50">
        <f>33+298+297</f>
        <v>628</v>
      </c>
      <c r="F18" s="50">
        <f>90+110+97</f>
        <v>297</v>
      </c>
      <c r="G18" s="50">
        <f>F18+E18</f>
        <v>925</v>
      </c>
      <c r="H18" s="51">
        <f>G18+D18</f>
        <v>955</v>
      </c>
    </row>
    <row r="19" spans="1:8" ht="12.75" customHeight="1">
      <c r="A19" s="52" t="s">
        <v>58</v>
      </c>
      <c r="B19" s="50">
        <v>0</v>
      </c>
      <c r="C19" s="50">
        <v>30</v>
      </c>
      <c r="D19" s="50">
        <f>C19+B19</f>
        <v>30</v>
      </c>
      <c r="E19" s="50">
        <v>719</v>
      </c>
      <c r="F19" s="50">
        <v>424</v>
      </c>
      <c r="G19" s="50">
        <f>F19+E19</f>
        <v>1143</v>
      </c>
      <c r="H19" s="51">
        <f>G19+D19</f>
        <v>1173</v>
      </c>
    </row>
    <row r="20" spans="1:8" ht="12.75" customHeight="1">
      <c r="A20" s="52" t="s">
        <v>60</v>
      </c>
      <c r="B20" s="50">
        <v>0</v>
      </c>
      <c r="C20" s="50">
        <v>48</v>
      </c>
      <c r="D20" s="50">
        <f>C20+B20</f>
        <v>48</v>
      </c>
      <c r="E20" s="50">
        <v>780</v>
      </c>
      <c r="F20" s="50">
        <v>318</v>
      </c>
      <c r="G20" s="50">
        <f>F20+E20</f>
        <v>1098</v>
      </c>
      <c r="H20" s="51">
        <f>G20+D20</f>
        <v>1146</v>
      </c>
    </row>
    <row r="21" spans="1:8" ht="12.75" customHeight="1">
      <c r="A21" s="52"/>
      <c r="B21" s="11"/>
      <c r="C21" s="11"/>
      <c r="D21" s="11"/>
      <c r="E21" s="11"/>
      <c r="F21" s="11"/>
      <c r="G21" s="11"/>
      <c r="H21" s="13"/>
    </row>
    <row r="23" spans="1:8" s="27" customFormat="1" ht="12.75" customHeight="1">
      <c r="A23" s="7" t="s">
        <v>47</v>
      </c>
      <c r="B23" s="36" t="s">
        <v>17</v>
      </c>
      <c r="C23" s="36" t="s">
        <v>17</v>
      </c>
      <c r="D23" s="36" t="s">
        <v>7</v>
      </c>
      <c r="E23" s="36" t="s">
        <v>11</v>
      </c>
      <c r="F23" s="36" t="s">
        <v>22</v>
      </c>
      <c r="G23" s="36" t="s">
        <v>23</v>
      </c>
      <c r="H23" s="30" t="s">
        <v>8</v>
      </c>
    </row>
    <row r="24" spans="1:8" s="27" customFormat="1" ht="12.75" customHeight="1">
      <c r="A24" s="28"/>
      <c r="B24" s="31" t="s">
        <v>18</v>
      </c>
      <c r="C24" s="31" t="s">
        <v>19</v>
      </c>
      <c r="D24" s="31" t="s">
        <v>17</v>
      </c>
      <c r="E24" s="31" t="s">
        <v>20</v>
      </c>
      <c r="F24" s="31" t="s">
        <v>21</v>
      </c>
      <c r="G24" s="31" t="s">
        <v>11</v>
      </c>
      <c r="H24" s="33" t="s">
        <v>7</v>
      </c>
    </row>
    <row r="25" spans="2:8" ht="12.75" customHeight="1">
      <c r="B25" s="14"/>
      <c r="C25" s="14"/>
      <c r="D25" s="14"/>
      <c r="E25" s="14"/>
      <c r="F25" s="14"/>
      <c r="G25" s="14"/>
      <c r="H25" s="16"/>
    </row>
    <row r="26" spans="1:8" ht="12.75" customHeight="1">
      <c r="A26" s="7" t="s">
        <v>43</v>
      </c>
      <c r="B26" s="23">
        <f>SUM(B16*1.1)</f>
        <v>0</v>
      </c>
      <c r="C26" s="23">
        <f>SUM(C16*1.48)</f>
        <v>39.96</v>
      </c>
      <c r="D26" s="23">
        <f>C26+B26</f>
        <v>39.96</v>
      </c>
      <c r="E26" s="23">
        <f>SUM(E16*5.36)</f>
        <v>2604.96</v>
      </c>
      <c r="F26" s="23">
        <f>SUM(F16*17.6)</f>
        <v>4699.200000000001</v>
      </c>
      <c r="G26" s="23">
        <f>F26+E26</f>
        <v>7304.160000000001</v>
      </c>
      <c r="H26" s="24">
        <f>G26+D26</f>
        <v>7344.120000000001</v>
      </c>
    </row>
    <row r="27" spans="1:8" ht="12.75" customHeight="1">
      <c r="A27" s="52" t="s">
        <v>46</v>
      </c>
      <c r="B27" s="23">
        <f>SUM(B17*1.1)</f>
        <v>0</v>
      </c>
      <c r="C27" s="23">
        <f>SUM(C17*1.48)</f>
        <v>35.519999999999996</v>
      </c>
      <c r="D27" s="23">
        <f>C27+B27</f>
        <v>35.519999999999996</v>
      </c>
      <c r="E27" s="23">
        <f>SUM(E17*5.36)</f>
        <v>1800.96</v>
      </c>
      <c r="F27" s="23">
        <f>SUM(F17*17.6)</f>
        <v>5966.400000000001</v>
      </c>
      <c r="G27" s="23">
        <f>F27+E27</f>
        <v>7767.360000000001</v>
      </c>
      <c r="H27" s="24">
        <f>G27+D27</f>
        <v>7802.880000000001</v>
      </c>
    </row>
    <row r="28" spans="1:8" ht="12.75" customHeight="1">
      <c r="A28" s="52" t="s">
        <v>49</v>
      </c>
      <c r="B28" s="23">
        <f>SUM(B18*1.1)</f>
        <v>0</v>
      </c>
      <c r="C28" s="23">
        <f>SUM(C18*1.48)</f>
        <v>44.4</v>
      </c>
      <c r="D28" s="23">
        <f>C28+B28</f>
        <v>44.4</v>
      </c>
      <c r="E28" s="23">
        <f>SUM(E18*5.36)</f>
        <v>3366.0800000000004</v>
      </c>
      <c r="F28" s="23">
        <f>SUM(F18*17.6)</f>
        <v>5227.200000000001</v>
      </c>
      <c r="G28" s="23">
        <f>F28+E28</f>
        <v>8593.28</v>
      </c>
      <c r="H28" s="24">
        <f>G28+D28</f>
        <v>8637.68</v>
      </c>
    </row>
    <row r="29" spans="1:8" ht="12.75" customHeight="1">
      <c r="A29" s="52" t="s">
        <v>58</v>
      </c>
      <c r="B29" s="23">
        <f>SUM(B19*1.1)</f>
        <v>0</v>
      </c>
      <c r="C29" s="23">
        <f>SUM(C19*1.48)</f>
        <v>44.4</v>
      </c>
      <c r="D29" s="23">
        <f>C29+B29</f>
        <v>44.4</v>
      </c>
      <c r="E29" s="23">
        <f>SUM(E19*5.36)</f>
        <v>3853.84</v>
      </c>
      <c r="F29" s="23">
        <f>SUM(F19*17.6)</f>
        <v>7462.400000000001</v>
      </c>
      <c r="G29" s="23">
        <f>F29+E29</f>
        <v>11316.240000000002</v>
      </c>
      <c r="H29" s="24">
        <f>G29+D29</f>
        <v>11360.640000000001</v>
      </c>
    </row>
    <row r="30" spans="1:8" ht="12.75" customHeight="1">
      <c r="A30" s="52" t="s">
        <v>60</v>
      </c>
      <c r="B30" s="23">
        <f>SUM(B20*1.1)</f>
        <v>0</v>
      </c>
      <c r="C30" s="23">
        <f>SUM(C20*1.48)</f>
        <v>71.03999999999999</v>
      </c>
      <c r="D30" s="23">
        <f>C30+B30</f>
        <v>71.03999999999999</v>
      </c>
      <c r="E30" s="23">
        <f>SUM(E20*5.36)</f>
        <v>4180.8</v>
      </c>
      <c r="F30" s="23">
        <f>SUM(F20*17.6)</f>
        <v>5596.8</v>
      </c>
      <c r="G30" s="23">
        <f>F30+E30</f>
        <v>9777.6</v>
      </c>
      <c r="H30" s="24">
        <f>G30+D30</f>
        <v>9848.640000000001</v>
      </c>
    </row>
    <row r="31" spans="1:8" ht="12.75" customHeight="1">
      <c r="A31" s="28"/>
      <c r="B31" s="11"/>
      <c r="C31" s="11"/>
      <c r="D31" s="11"/>
      <c r="E31" s="11"/>
      <c r="F31" s="11"/>
      <c r="G31" s="11"/>
      <c r="H31" s="13"/>
    </row>
    <row r="33" ht="12.75" customHeight="1">
      <c r="A33" s="27" t="s">
        <v>50</v>
      </c>
    </row>
    <row r="65" s="2" customFormat="1" ht="12.75" customHeight="1">
      <c r="A65" s="29"/>
    </row>
    <row r="74" s="2" customFormat="1" ht="12.75" customHeight="1">
      <c r="A74" s="29"/>
    </row>
    <row r="108" s="2" customFormat="1" ht="12.75" customHeight="1">
      <c r="A108" s="29"/>
    </row>
    <row r="117" s="2" customFormat="1" ht="12.75" customHeight="1">
      <c r="A117" s="29"/>
    </row>
    <row r="150" s="2" customFormat="1" ht="12.75" customHeight="1">
      <c r="A150" s="29"/>
    </row>
    <row r="216" s="2" customFormat="1" ht="12.75" customHeight="1">
      <c r="A216" s="29"/>
    </row>
    <row r="226" s="2" customFormat="1" ht="12.75" customHeight="1">
      <c r="A226" s="29"/>
    </row>
    <row r="291" s="2" customFormat="1" ht="12.75" customHeight="1">
      <c r="A291" s="29"/>
    </row>
    <row r="324" s="2" customFormat="1" ht="12.75" customHeight="1">
      <c r="A324" s="29"/>
    </row>
    <row r="355" s="2" customFormat="1" ht="12.75" customHeight="1">
      <c r="A355" s="29"/>
    </row>
    <row r="364" s="2" customFormat="1" ht="12.75" customHeight="1">
      <c r="A364" s="29"/>
    </row>
    <row r="395" s="2" customFormat="1" ht="12.75" customHeight="1">
      <c r="A395" s="29"/>
    </row>
    <row r="399" ht="12.75" customHeight="1">
      <c r="A399" s="28"/>
    </row>
    <row r="416" s="2" customFormat="1" ht="12.75" customHeight="1">
      <c r="A416" s="29"/>
    </row>
  </sheetData>
  <printOptions/>
  <pageMargins left="1" right="0.25" top="1" bottom="0.75" header="0.5" footer="0.25"/>
  <pageSetup fitToHeight="1" fitToWidth="1" horizontalDpi="300" verticalDpi="300" orientation="landscape" scale="97" r:id="rId1"/>
  <headerFooter alignWithMargins="0">
    <oddHeader>&amp;CThe University of Alabama in Huntsville
Unit Academic Reports 
</oddHeader>
    <oddFooter>&amp;L&amp;8Office of Institutional Research
&amp;D (np)
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7"/>
  <sheetViews>
    <sheetView workbookViewId="0" topLeftCell="A1">
      <selection activeCell="A2" sqref="A2"/>
    </sheetView>
  </sheetViews>
  <sheetFormatPr defaultColWidth="9.140625" defaultRowHeight="12.75"/>
  <cols>
    <col min="1" max="1" width="19.7109375" style="0" customWidth="1"/>
    <col min="2" max="18" width="7.28125" style="0" customWidth="1"/>
  </cols>
  <sheetData>
    <row r="1" ht="12.75">
      <c r="A1" s="72" t="s">
        <v>42</v>
      </c>
    </row>
    <row r="3" spans="1:18" ht="12.75">
      <c r="A3" s="28"/>
      <c r="B3" s="34" t="s">
        <v>1</v>
      </c>
      <c r="C3" s="35"/>
      <c r="D3" s="34" t="s">
        <v>2</v>
      </c>
      <c r="E3" s="35"/>
      <c r="F3" s="34" t="s">
        <v>3</v>
      </c>
      <c r="G3" s="35"/>
      <c r="H3" s="34" t="s">
        <v>4</v>
      </c>
      <c r="I3" s="35"/>
      <c r="J3" s="34" t="s">
        <v>5</v>
      </c>
      <c r="K3" s="35"/>
      <c r="L3" s="127" t="s">
        <v>6</v>
      </c>
      <c r="M3" s="128"/>
      <c r="N3" s="73" t="s">
        <v>40</v>
      </c>
      <c r="O3" s="73"/>
      <c r="P3" s="34" t="s">
        <v>7</v>
      </c>
      <c r="Q3" s="35"/>
      <c r="R3" s="30" t="s">
        <v>8</v>
      </c>
    </row>
    <row r="4" spans="1:18" ht="12.75">
      <c r="A4" s="7" t="s">
        <v>62</v>
      </c>
      <c r="B4" s="31" t="s">
        <v>9</v>
      </c>
      <c r="C4" s="32" t="s">
        <v>10</v>
      </c>
      <c r="D4" s="31" t="s">
        <v>9</v>
      </c>
      <c r="E4" s="32" t="s">
        <v>10</v>
      </c>
      <c r="F4" s="31" t="s">
        <v>9</v>
      </c>
      <c r="G4" s="32" t="s">
        <v>10</v>
      </c>
      <c r="H4" s="31" t="s">
        <v>9</v>
      </c>
      <c r="I4" s="32" t="s">
        <v>10</v>
      </c>
      <c r="J4" s="31" t="s">
        <v>9</v>
      </c>
      <c r="K4" s="32" t="s">
        <v>10</v>
      </c>
      <c r="L4" s="31" t="s">
        <v>9</v>
      </c>
      <c r="M4" s="32" t="s">
        <v>10</v>
      </c>
      <c r="N4" s="31" t="s">
        <v>9</v>
      </c>
      <c r="O4" s="32" t="s">
        <v>10</v>
      </c>
      <c r="P4" s="31" t="s">
        <v>9</v>
      </c>
      <c r="Q4" s="32" t="s">
        <v>10</v>
      </c>
      <c r="R4" s="33" t="s">
        <v>7</v>
      </c>
    </row>
    <row r="5" spans="2:18" ht="12.75">
      <c r="B5" s="4"/>
      <c r="C5" s="5"/>
      <c r="D5" s="4"/>
      <c r="E5" s="5"/>
      <c r="F5" s="4"/>
      <c r="G5" s="5"/>
      <c r="H5" s="4"/>
      <c r="I5" s="5"/>
      <c r="J5" s="4"/>
      <c r="K5" s="5"/>
      <c r="L5" s="4"/>
      <c r="M5" s="5"/>
      <c r="N5" s="74"/>
      <c r="O5" s="74"/>
      <c r="P5" s="4"/>
      <c r="Q5" s="5"/>
      <c r="R5" s="10"/>
    </row>
    <row r="6" spans="1:18" ht="12.75">
      <c r="A6" s="7" t="s">
        <v>43</v>
      </c>
      <c r="B6" s="75">
        <v>0</v>
      </c>
      <c r="C6" s="76">
        <v>0</v>
      </c>
      <c r="D6" s="75">
        <v>0</v>
      </c>
      <c r="E6" s="76">
        <v>0</v>
      </c>
      <c r="F6" s="75">
        <v>0</v>
      </c>
      <c r="G6" s="76">
        <v>0</v>
      </c>
      <c r="H6" s="75">
        <v>0</v>
      </c>
      <c r="I6" s="76">
        <v>0</v>
      </c>
      <c r="J6" s="75">
        <v>0</v>
      </c>
      <c r="K6" s="76">
        <v>0</v>
      </c>
      <c r="L6" s="75">
        <v>0</v>
      </c>
      <c r="M6" s="76">
        <v>0</v>
      </c>
      <c r="N6" s="77">
        <v>0</v>
      </c>
      <c r="O6" s="77">
        <v>0</v>
      </c>
      <c r="P6" s="75">
        <f aca="true" t="shared" si="0" ref="P6:Q10">SUM(N6,L6,J6,H6,F6,D6,B6)</f>
        <v>0</v>
      </c>
      <c r="Q6" s="76">
        <f t="shared" si="0"/>
        <v>0</v>
      </c>
      <c r="R6" s="78">
        <f>SUM(Q6,P6)</f>
        <v>0</v>
      </c>
    </row>
    <row r="7" spans="1:18" ht="12.75">
      <c r="A7" s="52" t="s">
        <v>46</v>
      </c>
      <c r="B7" s="75">
        <v>0</v>
      </c>
      <c r="C7" s="76">
        <v>0</v>
      </c>
      <c r="D7" s="75">
        <v>0</v>
      </c>
      <c r="E7" s="76">
        <v>0</v>
      </c>
      <c r="F7" s="75">
        <v>0</v>
      </c>
      <c r="G7" s="76">
        <v>0</v>
      </c>
      <c r="H7" s="75">
        <v>0</v>
      </c>
      <c r="I7" s="76">
        <v>0</v>
      </c>
      <c r="J7" s="75">
        <v>0</v>
      </c>
      <c r="K7" s="76">
        <v>0</v>
      </c>
      <c r="L7" s="75">
        <v>2</v>
      </c>
      <c r="M7" s="76">
        <v>1</v>
      </c>
      <c r="N7" s="77">
        <v>0</v>
      </c>
      <c r="O7" s="77">
        <v>0</v>
      </c>
      <c r="P7" s="75">
        <f t="shared" si="0"/>
        <v>2</v>
      </c>
      <c r="Q7" s="76">
        <f t="shared" si="0"/>
        <v>1</v>
      </c>
      <c r="R7" s="78">
        <f>SUM(Q7,P7)</f>
        <v>3</v>
      </c>
    </row>
    <row r="8" spans="1:18" ht="12.75">
      <c r="A8" s="52" t="s">
        <v>49</v>
      </c>
      <c r="B8" s="75">
        <v>0</v>
      </c>
      <c r="C8" s="76">
        <v>0</v>
      </c>
      <c r="D8" s="75">
        <v>0</v>
      </c>
      <c r="E8" s="76">
        <v>0</v>
      </c>
      <c r="F8" s="75">
        <v>0</v>
      </c>
      <c r="G8" s="76">
        <v>0</v>
      </c>
      <c r="H8" s="75">
        <v>0</v>
      </c>
      <c r="I8" s="76">
        <v>0</v>
      </c>
      <c r="J8" s="75">
        <v>0</v>
      </c>
      <c r="K8" s="76">
        <v>0</v>
      </c>
      <c r="L8" s="75">
        <v>1</v>
      </c>
      <c r="M8" s="76">
        <v>1</v>
      </c>
      <c r="N8" s="77">
        <v>0</v>
      </c>
      <c r="O8" s="77">
        <v>1</v>
      </c>
      <c r="P8" s="75">
        <f t="shared" si="0"/>
        <v>1</v>
      </c>
      <c r="Q8" s="76">
        <f t="shared" si="0"/>
        <v>2</v>
      </c>
      <c r="R8" s="78">
        <f>SUM(Q8,P8)</f>
        <v>3</v>
      </c>
    </row>
    <row r="9" spans="1:18" ht="12.75">
      <c r="A9" s="52" t="s">
        <v>58</v>
      </c>
      <c r="B9" s="75">
        <v>1</v>
      </c>
      <c r="C9" s="76">
        <v>0</v>
      </c>
      <c r="D9" s="75">
        <v>0</v>
      </c>
      <c r="E9" s="76">
        <v>0</v>
      </c>
      <c r="F9" s="75">
        <v>0</v>
      </c>
      <c r="G9" s="76">
        <v>0</v>
      </c>
      <c r="H9" s="75">
        <v>0</v>
      </c>
      <c r="I9" s="76">
        <v>0</v>
      </c>
      <c r="J9" s="75">
        <v>0</v>
      </c>
      <c r="K9" s="76">
        <v>0</v>
      </c>
      <c r="L9" s="75">
        <v>0</v>
      </c>
      <c r="M9" s="76">
        <v>0</v>
      </c>
      <c r="N9" s="77">
        <v>0</v>
      </c>
      <c r="O9" s="77">
        <v>0</v>
      </c>
      <c r="P9" s="75">
        <f t="shared" si="0"/>
        <v>1</v>
      </c>
      <c r="Q9" s="76">
        <f t="shared" si="0"/>
        <v>0</v>
      </c>
      <c r="R9" s="78">
        <f>SUM(Q9,P9)</f>
        <v>1</v>
      </c>
    </row>
    <row r="10" spans="1:18" ht="12.75">
      <c r="A10" s="52" t="s">
        <v>60</v>
      </c>
      <c r="B10" s="75">
        <v>1</v>
      </c>
      <c r="C10" s="76">
        <v>0</v>
      </c>
      <c r="D10" s="75">
        <v>0</v>
      </c>
      <c r="E10" s="76">
        <v>0</v>
      </c>
      <c r="F10" s="75">
        <v>0</v>
      </c>
      <c r="G10" s="76">
        <v>0</v>
      </c>
      <c r="H10" s="75">
        <v>0</v>
      </c>
      <c r="I10" s="76">
        <v>0</v>
      </c>
      <c r="J10" s="75">
        <v>0</v>
      </c>
      <c r="K10" s="76">
        <v>0</v>
      </c>
      <c r="L10" s="75">
        <v>0</v>
      </c>
      <c r="M10" s="76">
        <v>1</v>
      </c>
      <c r="N10" s="77">
        <v>0</v>
      </c>
      <c r="O10" s="77">
        <v>0</v>
      </c>
      <c r="P10" s="75">
        <f t="shared" si="0"/>
        <v>1</v>
      </c>
      <c r="Q10" s="76">
        <f t="shared" si="0"/>
        <v>1</v>
      </c>
      <c r="R10" s="78">
        <f>SUM(Q10,P10)</f>
        <v>2</v>
      </c>
    </row>
    <row r="11" spans="1:18" ht="12.75">
      <c r="A11" s="3"/>
      <c r="B11" s="11"/>
      <c r="C11" s="12"/>
      <c r="D11" s="11"/>
      <c r="E11" s="12"/>
      <c r="F11" s="11"/>
      <c r="G11" s="12"/>
      <c r="H11" s="11"/>
      <c r="I11" s="12"/>
      <c r="J11" s="11"/>
      <c r="K11" s="12"/>
      <c r="L11" s="11"/>
      <c r="M11" s="12"/>
      <c r="N11" s="20"/>
      <c r="O11" s="20"/>
      <c r="P11" s="11"/>
      <c r="Q11" s="12"/>
      <c r="R11" s="13"/>
    </row>
    <row r="13" spans="1:18" ht="12.75">
      <c r="A13" s="7" t="s">
        <v>11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</row>
    <row r="14" spans="1:18" ht="12.75">
      <c r="A14" s="26" t="s">
        <v>12</v>
      </c>
      <c r="B14" s="34" t="s">
        <v>1</v>
      </c>
      <c r="C14" s="35"/>
      <c r="D14" s="34" t="s">
        <v>2</v>
      </c>
      <c r="E14" s="35"/>
      <c r="F14" s="34" t="s">
        <v>3</v>
      </c>
      <c r="G14" s="35"/>
      <c r="H14" s="34" t="s">
        <v>4</v>
      </c>
      <c r="I14" s="35"/>
      <c r="J14" s="34" t="s">
        <v>5</v>
      </c>
      <c r="K14" s="35"/>
      <c r="L14" s="127" t="s">
        <v>6</v>
      </c>
      <c r="M14" s="129"/>
      <c r="N14" s="34" t="s">
        <v>40</v>
      </c>
      <c r="O14" s="35"/>
      <c r="P14" s="34" t="s">
        <v>7</v>
      </c>
      <c r="Q14" s="35"/>
      <c r="R14" s="30" t="s">
        <v>8</v>
      </c>
    </row>
    <row r="15" spans="1:18" ht="12.75">
      <c r="A15" s="26" t="s">
        <v>13</v>
      </c>
      <c r="B15" s="42" t="s">
        <v>9</v>
      </c>
      <c r="C15" s="66" t="s">
        <v>10</v>
      </c>
      <c r="D15" s="42" t="s">
        <v>9</v>
      </c>
      <c r="E15" s="66" t="s">
        <v>10</v>
      </c>
      <c r="F15" s="42" t="s">
        <v>9</v>
      </c>
      <c r="G15" s="66" t="s">
        <v>10</v>
      </c>
      <c r="H15" s="42" t="s">
        <v>9</v>
      </c>
      <c r="I15" s="66" t="s">
        <v>10</v>
      </c>
      <c r="J15" s="42" t="s">
        <v>9</v>
      </c>
      <c r="K15" s="66" t="s">
        <v>10</v>
      </c>
      <c r="L15" s="42" t="s">
        <v>9</v>
      </c>
      <c r="M15" s="79" t="s">
        <v>10</v>
      </c>
      <c r="N15" s="31" t="s">
        <v>9</v>
      </c>
      <c r="O15" s="32" t="s">
        <v>10</v>
      </c>
      <c r="P15" s="42" t="s">
        <v>9</v>
      </c>
      <c r="Q15" s="66" t="s">
        <v>10</v>
      </c>
      <c r="R15" s="43" t="s">
        <v>7</v>
      </c>
    </row>
    <row r="16" spans="1:18" ht="12.75">
      <c r="A16" s="7"/>
      <c r="B16" s="14"/>
      <c r="C16" s="15"/>
      <c r="D16" s="14"/>
      <c r="E16" s="15"/>
      <c r="F16" s="14"/>
      <c r="G16" s="15"/>
      <c r="H16" s="14"/>
      <c r="I16" s="15"/>
      <c r="J16" s="14"/>
      <c r="K16" s="15"/>
      <c r="L16" s="14"/>
      <c r="M16" s="53"/>
      <c r="N16" s="14"/>
      <c r="O16" s="15"/>
      <c r="P16" s="14"/>
      <c r="Q16" s="15"/>
      <c r="R16" s="16"/>
    </row>
    <row r="17" spans="1:18" ht="12.75">
      <c r="A17" s="7" t="s">
        <v>43</v>
      </c>
      <c r="B17" s="80">
        <v>6</v>
      </c>
      <c r="C17" s="81">
        <v>7</v>
      </c>
      <c r="D17" s="80">
        <v>0</v>
      </c>
      <c r="E17" s="81">
        <v>0</v>
      </c>
      <c r="F17" s="80">
        <v>0</v>
      </c>
      <c r="G17" s="81">
        <v>0</v>
      </c>
      <c r="H17" s="80">
        <v>0</v>
      </c>
      <c r="I17" s="81">
        <v>0</v>
      </c>
      <c r="J17" s="80">
        <v>0</v>
      </c>
      <c r="K17" s="81">
        <v>0</v>
      </c>
      <c r="L17" s="80">
        <v>4</v>
      </c>
      <c r="M17" s="81">
        <v>4</v>
      </c>
      <c r="N17" s="80">
        <v>0</v>
      </c>
      <c r="O17" s="82">
        <v>1</v>
      </c>
      <c r="P17" s="80">
        <f aca="true" t="shared" si="1" ref="P17:Q21">SUM(B17,D17,F17,H17,J17,L17,N17)</f>
        <v>10</v>
      </c>
      <c r="Q17" s="82">
        <f t="shared" si="1"/>
        <v>12</v>
      </c>
      <c r="R17" s="83">
        <f>SUM(Q17,P17)</f>
        <v>22</v>
      </c>
    </row>
    <row r="18" spans="1:18" ht="12.75">
      <c r="A18" s="52" t="s">
        <v>46</v>
      </c>
      <c r="B18" s="80">
        <v>6</v>
      </c>
      <c r="C18" s="81">
        <v>5</v>
      </c>
      <c r="D18" s="80">
        <v>1</v>
      </c>
      <c r="E18" s="81">
        <v>0</v>
      </c>
      <c r="F18" s="80">
        <v>0</v>
      </c>
      <c r="G18" s="81">
        <v>0</v>
      </c>
      <c r="H18" s="80">
        <v>0</v>
      </c>
      <c r="I18" s="81">
        <v>1</v>
      </c>
      <c r="J18" s="80">
        <v>0</v>
      </c>
      <c r="K18" s="81">
        <v>0</v>
      </c>
      <c r="L18" s="80">
        <v>2</v>
      </c>
      <c r="M18" s="81">
        <v>6</v>
      </c>
      <c r="N18" s="80">
        <v>0</v>
      </c>
      <c r="O18" s="82">
        <v>1</v>
      </c>
      <c r="P18" s="80">
        <f t="shared" si="1"/>
        <v>9</v>
      </c>
      <c r="Q18" s="82">
        <f t="shared" si="1"/>
        <v>13</v>
      </c>
      <c r="R18" s="83">
        <f>SUM(Q18,P18)</f>
        <v>22</v>
      </c>
    </row>
    <row r="19" spans="1:18" ht="12.75">
      <c r="A19" s="52" t="s">
        <v>49</v>
      </c>
      <c r="B19" s="80">
        <v>3</v>
      </c>
      <c r="C19" s="81">
        <v>3</v>
      </c>
      <c r="D19" s="80">
        <v>0</v>
      </c>
      <c r="E19" s="81">
        <v>1</v>
      </c>
      <c r="F19" s="80">
        <v>0</v>
      </c>
      <c r="G19" s="81">
        <v>0</v>
      </c>
      <c r="H19" s="80">
        <v>0</v>
      </c>
      <c r="I19" s="81">
        <v>0</v>
      </c>
      <c r="J19" s="80">
        <v>0</v>
      </c>
      <c r="K19" s="81">
        <v>0</v>
      </c>
      <c r="L19" s="80">
        <v>2</v>
      </c>
      <c r="M19" s="81">
        <v>5</v>
      </c>
      <c r="N19" s="80">
        <v>0</v>
      </c>
      <c r="O19" s="82">
        <v>1</v>
      </c>
      <c r="P19" s="80">
        <f t="shared" si="1"/>
        <v>5</v>
      </c>
      <c r="Q19" s="82">
        <f t="shared" si="1"/>
        <v>10</v>
      </c>
      <c r="R19" s="83">
        <f>SUM(Q19,P19)</f>
        <v>15</v>
      </c>
    </row>
    <row r="20" spans="1:18" ht="12.75">
      <c r="A20" s="52" t="s">
        <v>58</v>
      </c>
      <c r="B20" s="80">
        <v>4</v>
      </c>
      <c r="C20" s="81">
        <v>6</v>
      </c>
      <c r="D20" s="80">
        <v>0</v>
      </c>
      <c r="E20" s="81">
        <v>4</v>
      </c>
      <c r="F20" s="80">
        <v>0</v>
      </c>
      <c r="G20" s="81">
        <v>0</v>
      </c>
      <c r="H20" s="80">
        <v>0</v>
      </c>
      <c r="I20" s="81">
        <v>1</v>
      </c>
      <c r="J20" s="80">
        <v>0</v>
      </c>
      <c r="K20" s="81">
        <v>0</v>
      </c>
      <c r="L20" s="80">
        <v>4</v>
      </c>
      <c r="M20" s="81">
        <v>4</v>
      </c>
      <c r="N20" s="80">
        <v>1</v>
      </c>
      <c r="O20" s="82">
        <v>0</v>
      </c>
      <c r="P20" s="80">
        <f t="shared" si="1"/>
        <v>9</v>
      </c>
      <c r="Q20" s="81">
        <f t="shared" si="1"/>
        <v>15</v>
      </c>
      <c r="R20" s="83">
        <f>SUM(Q20,P20)</f>
        <v>24</v>
      </c>
    </row>
    <row r="21" spans="1:18" ht="12.75">
      <c r="A21" s="52" t="s">
        <v>60</v>
      </c>
      <c r="B21" s="80">
        <v>4</v>
      </c>
      <c r="C21" s="81">
        <v>6</v>
      </c>
      <c r="D21" s="80">
        <v>1</v>
      </c>
      <c r="E21" s="81">
        <v>5</v>
      </c>
      <c r="F21" s="80">
        <v>0</v>
      </c>
      <c r="G21" s="81">
        <v>0</v>
      </c>
      <c r="H21" s="80">
        <v>0</v>
      </c>
      <c r="I21" s="81">
        <v>0</v>
      </c>
      <c r="J21" s="80">
        <v>0</v>
      </c>
      <c r="K21" s="81">
        <v>0</v>
      </c>
      <c r="L21" s="80">
        <v>5</v>
      </c>
      <c r="M21" s="81">
        <v>4</v>
      </c>
      <c r="N21" s="80">
        <v>0</v>
      </c>
      <c r="O21" s="82">
        <v>0</v>
      </c>
      <c r="P21" s="80">
        <f t="shared" si="1"/>
        <v>10</v>
      </c>
      <c r="Q21" s="81">
        <f t="shared" si="1"/>
        <v>15</v>
      </c>
      <c r="R21" s="83">
        <f>SUM(Q21,P21)</f>
        <v>25</v>
      </c>
    </row>
    <row r="22" spans="2:18" ht="12.75">
      <c r="B22" s="84"/>
      <c r="C22" s="85"/>
      <c r="D22" s="84"/>
      <c r="E22" s="85"/>
      <c r="F22" s="84"/>
      <c r="G22" s="85"/>
      <c r="H22" s="84"/>
      <c r="I22" s="85"/>
      <c r="J22" s="84"/>
      <c r="K22" s="85"/>
      <c r="L22" s="84"/>
      <c r="M22" s="85"/>
      <c r="N22" s="84"/>
      <c r="O22" s="86"/>
      <c r="P22" s="84"/>
      <c r="Q22" s="85"/>
      <c r="R22" s="13"/>
    </row>
    <row r="25" spans="1:6" ht="12.75">
      <c r="A25" s="38" t="s">
        <v>54</v>
      </c>
      <c r="F25" s="70"/>
    </row>
    <row r="26" ht="12.75">
      <c r="A26" s="38"/>
    </row>
    <row r="27" spans="2:12" ht="12.75">
      <c r="B27" s="70"/>
      <c r="C27" s="70"/>
      <c r="D27" s="70"/>
      <c r="E27" s="59"/>
      <c r="F27" s="59"/>
      <c r="G27" s="59"/>
      <c r="H27" s="59"/>
      <c r="I27" s="59"/>
      <c r="J27" s="59"/>
      <c r="K27" s="59"/>
      <c r="L27" s="59"/>
    </row>
  </sheetData>
  <mergeCells count="2">
    <mergeCell ref="L3:M3"/>
    <mergeCell ref="L14:M14"/>
  </mergeCells>
  <printOptions/>
  <pageMargins left="1" right="0.25" top="1" bottom="0.75" header="0.5" footer="0.25"/>
  <pageSetup fitToHeight="1" fitToWidth="1" horizontalDpi="600" verticalDpi="600" orientation="landscape" scale="86" r:id="rId1"/>
  <headerFooter alignWithMargins="0">
    <oddHeader>&amp;CThe University of Alabama in Huntsville
Unit Academic Reports 
</oddHeader>
    <oddFooter>&amp;L&amp;8Office of Institutional Research
&amp;D (np)
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9"/>
  <sheetViews>
    <sheetView workbookViewId="0" topLeftCell="A1">
      <selection activeCell="A2" sqref="A2"/>
    </sheetView>
  </sheetViews>
  <sheetFormatPr defaultColWidth="9.140625" defaultRowHeight="12.75"/>
  <cols>
    <col min="1" max="1" width="24.7109375" style="0" customWidth="1"/>
    <col min="2" max="8" width="15.7109375" style="0" customWidth="1"/>
  </cols>
  <sheetData>
    <row r="1" ht="12.75">
      <c r="A1" s="72" t="s">
        <v>42</v>
      </c>
    </row>
    <row r="4" spans="1:4" ht="12.75">
      <c r="A4" s="7" t="s">
        <v>11</v>
      </c>
      <c r="B4" s="3"/>
      <c r="C4" s="3"/>
      <c r="D4" s="3"/>
    </row>
    <row r="5" spans="1:4" ht="12.75">
      <c r="A5" s="7" t="s">
        <v>12</v>
      </c>
      <c r="B5" s="39" t="s">
        <v>16</v>
      </c>
      <c r="C5" s="39" t="s">
        <v>14</v>
      </c>
      <c r="D5" s="39" t="s">
        <v>15</v>
      </c>
    </row>
    <row r="6" spans="1:4" ht="12.75">
      <c r="A6" s="27"/>
      <c r="B6" s="87"/>
      <c r="C6" s="87"/>
      <c r="D6" s="87"/>
    </row>
    <row r="7" spans="1:4" ht="12.75">
      <c r="A7" s="7" t="s">
        <v>43</v>
      </c>
      <c r="B7" s="88">
        <v>15</v>
      </c>
      <c r="C7" s="88">
        <f>BTSE!R17</f>
        <v>22</v>
      </c>
      <c r="D7" s="89">
        <v>23</v>
      </c>
    </row>
    <row r="8" spans="1:4" ht="12.75">
      <c r="A8" s="52" t="s">
        <v>46</v>
      </c>
      <c r="B8" s="88">
        <v>18</v>
      </c>
      <c r="C8" s="88">
        <f>BTSE!R18</f>
        <v>22</v>
      </c>
      <c r="D8" s="89">
        <v>18</v>
      </c>
    </row>
    <row r="9" spans="1:4" ht="12.75">
      <c r="A9" s="52" t="s">
        <v>49</v>
      </c>
      <c r="B9" s="88">
        <v>12</v>
      </c>
      <c r="C9" s="88">
        <f>BTSE!R19</f>
        <v>15</v>
      </c>
      <c r="D9" s="89">
        <v>17</v>
      </c>
    </row>
    <row r="10" spans="1:4" ht="12.75">
      <c r="A10" s="52" t="s">
        <v>58</v>
      </c>
      <c r="B10" s="88">
        <v>12</v>
      </c>
      <c r="C10" s="88">
        <f>BTSE!R20</f>
        <v>24</v>
      </c>
      <c r="D10" s="89">
        <v>21</v>
      </c>
    </row>
    <row r="11" spans="1:4" ht="12.75">
      <c r="A11" s="52" t="s">
        <v>60</v>
      </c>
      <c r="B11" s="88">
        <v>19</v>
      </c>
      <c r="C11" s="88">
        <f>BTSE!R21</f>
        <v>25</v>
      </c>
      <c r="D11" s="89">
        <v>22</v>
      </c>
    </row>
    <row r="12" spans="1:4" ht="12.75">
      <c r="A12" s="7"/>
      <c r="B12" s="8"/>
      <c r="C12" s="8"/>
      <c r="D12" s="9"/>
    </row>
    <row r="15" spans="1:8" ht="12.75">
      <c r="A15" s="26" t="s">
        <v>52</v>
      </c>
      <c r="B15" s="40" t="s">
        <v>17</v>
      </c>
      <c r="C15" s="40" t="s">
        <v>17</v>
      </c>
      <c r="D15" s="40" t="s">
        <v>7</v>
      </c>
      <c r="E15" s="40" t="s">
        <v>11</v>
      </c>
      <c r="F15" s="40" t="s">
        <v>11</v>
      </c>
      <c r="G15" s="41" t="s">
        <v>7</v>
      </c>
      <c r="H15" s="41" t="s">
        <v>8</v>
      </c>
    </row>
    <row r="16" spans="1:8" ht="12.75">
      <c r="A16" s="26"/>
      <c r="B16" s="42" t="s">
        <v>18</v>
      </c>
      <c r="C16" s="42" t="s">
        <v>19</v>
      </c>
      <c r="D16" s="42" t="s">
        <v>17</v>
      </c>
      <c r="E16" s="42" t="s">
        <v>20</v>
      </c>
      <c r="F16" s="42" t="s">
        <v>21</v>
      </c>
      <c r="G16" s="43" t="s">
        <v>11</v>
      </c>
      <c r="H16" s="43" t="s">
        <v>7</v>
      </c>
    </row>
    <row r="17" spans="1:8" ht="12.75">
      <c r="A17" s="27"/>
      <c r="B17" s="4"/>
      <c r="C17" s="4"/>
      <c r="D17" s="90"/>
      <c r="E17" s="90"/>
      <c r="F17" s="90"/>
      <c r="G17" s="91"/>
      <c r="H17" s="91"/>
    </row>
    <row r="18" spans="1:8" ht="12.75">
      <c r="A18" s="7" t="s">
        <v>43</v>
      </c>
      <c r="B18" s="92">
        <v>0</v>
      </c>
      <c r="C18" s="92">
        <v>0</v>
      </c>
      <c r="D18" s="92">
        <f>SUM(B18:C18)</f>
        <v>0</v>
      </c>
      <c r="E18" s="92">
        <v>12</v>
      </c>
      <c r="F18" s="92">
        <v>163</v>
      </c>
      <c r="G18" s="93">
        <f>SUM(E18:F18)</f>
        <v>175</v>
      </c>
      <c r="H18" s="93">
        <f>SUM(G18,D18)</f>
        <v>175</v>
      </c>
    </row>
    <row r="19" spans="1:8" ht="12.75">
      <c r="A19" s="52" t="s">
        <v>46</v>
      </c>
      <c r="B19" s="92">
        <v>0</v>
      </c>
      <c r="C19" s="92">
        <v>0</v>
      </c>
      <c r="D19" s="92">
        <f>SUM(B19:C19)</f>
        <v>0</v>
      </c>
      <c r="E19" s="92">
        <v>24</v>
      </c>
      <c r="F19" s="92">
        <f>66+72+56</f>
        <v>194</v>
      </c>
      <c r="G19" s="93">
        <f>SUM(E19:F19)</f>
        <v>218</v>
      </c>
      <c r="H19" s="93">
        <f>SUM(G19,D19)</f>
        <v>218</v>
      </c>
    </row>
    <row r="20" spans="1:8" ht="12.75">
      <c r="A20" s="52" t="s">
        <v>49</v>
      </c>
      <c r="B20" s="92">
        <v>0</v>
      </c>
      <c r="C20" s="92">
        <v>0</v>
      </c>
      <c r="D20" s="92">
        <f>SUM(B20:C20)</f>
        <v>0</v>
      </c>
      <c r="E20" s="92">
        <f>3</f>
        <v>3</v>
      </c>
      <c r="F20" s="92">
        <f>42+70+62</f>
        <v>174</v>
      </c>
      <c r="G20" s="93">
        <f>SUM(E20:F20)</f>
        <v>177</v>
      </c>
      <c r="H20" s="93">
        <f>SUM(G20,D20)</f>
        <v>177</v>
      </c>
    </row>
    <row r="21" spans="1:8" ht="12.75">
      <c r="A21" s="52" t="s">
        <v>58</v>
      </c>
      <c r="B21" s="92">
        <v>0</v>
      </c>
      <c r="C21" s="92">
        <v>0</v>
      </c>
      <c r="D21" s="92">
        <f>SUM(B21:C21)</f>
        <v>0</v>
      </c>
      <c r="E21" s="92">
        <v>0</v>
      </c>
      <c r="F21" s="92">
        <v>180</v>
      </c>
      <c r="G21" s="93">
        <f>SUM(E21:F21)</f>
        <v>180</v>
      </c>
      <c r="H21" s="93">
        <f>SUM(G21,D21)</f>
        <v>180</v>
      </c>
    </row>
    <row r="22" spans="1:8" ht="12.75">
      <c r="A22" s="52" t="s">
        <v>60</v>
      </c>
      <c r="B22" s="92">
        <v>0</v>
      </c>
      <c r="C22" s="92">
        <v>0</v>
      </c>
      <c r="D22" s="92">
        <f>SUM(B22:C22)</f>
        <v>0</v>
      </c>
      <c r="E22" s="92">
        <v>0</v>
      </c>
      <c r="F22" s="92">
        <v>253</v>
      </c>
      <c r="G22" s="93">
        <f>SUM(E22:F22)</f>
        <v>253</v>
      </c>
      <c r="H22" s="93">
        <f>SUM(G22,D22)</f>
        <v>253</v>
      </c>
    </row>
    <row r="23" spans="1:8" ht="12.75">
      <c r="A23" s="28"/>
      <c r="B23" s="11"/>
      <c r="C23" s="11"/>
      <c r="D23" s="11"/>
      <c r="E23" s="11"/>
      <c r="F23" s="11"/>
      <c r="G23" s="13"/>
      <c r="H23" s="13"/>
    </row>
    <row r="24" spans="1:5" ht="12.75">
      <c r="A24" s="27"/>
      <c r="B24" s="3"/>
      <c r="C24" s="3"/>
      <c r="D24" s="3"/>
      <c r="E24" s="3"/>
    </row>
    <row r="25" spans="1:8" ht="12.75">
      <c r="A25" s="28"/>
      <c r="F25" s="2"/>
      <c r="G25" s="2"/>
      <c r="H25" s="2"/>
    </row>
    <row r="26" spans="1:8" ht="12.75">
      <c r="A26" s="26" t="s">
        <v>53</v>
      </c>
      <c r="B26" s="40" t="s">
        <v>17</v>
      </c>
      <c r="C26" s="40" t="s">
        <v>17</v>
      </c>
      <c r="D26" s="40" t="s">
        <v>7</v>
      </c>
      <c r="E26" s="40" t="s">
        <v>11</v>
      </c>
      <c r="F26" s="40" t="s">
        <v>22</v>
      </c>
      <c r="G26" s="41" t="s">
        <v>23</v>
      </c>
      <c r="H26" s="41" t="s">
        <v>8</v>
      </c>
    </row>
    <row r="27" spans="1:8" ht="12.75">
      <c r="A27" s="38"/>
      <c r="B27" s="42" t="s">
        <v>18</v>
      </c>
      <c r="C27" s="42" t="s">
        <v>19</v>
      </c>
      <c r="D27" s="42" t="s">
        <v>17</v>
      </c>
      <c r="E27" s="42" t="s">
        <v>20</v>
      </c>
      <c r="F27" s="42" t="s">
        <v>21</v>
      </c>
      <c r="G27" s="43" t="s">
        <v>11</v>
      </c>
      <c r="H27" s="43" t="s">
        <v>7</v>
      </c>
    </row>
    <row r="28" spans="1:8" ht="12.75">
      <c r="A28" s="27"/>
      <c r="B28" s="14"/>
      <c r="C28" s="14"/>
      <c r="D28" s="14"/>
      <c r="E28" s="14"/>
      <c r="F28" s="14"/>
      <c r="G28" s="16"/>
      <c r="H28" s="16"/>
    </row>
    <row r="29" spans="1:8" ht="12.75">
      <c r="A29" s="7" t="s">
        <v>43</v>
      </c>
      <c r="B29" s="23">
        <v>0</v>
      </c>
      <c r="C29" s="23">
        <v>0</v>
      </c>
      <c r="D29" s="23">
        <f>SUM(B29:C29)</f>
        <v>0</v>
      </c>
      <c r="E29" s="23">
        <f>E18*5.36</f>
        <v>64.32000000000001</v>
      </c>
      <c r="F29" s="23">
        <f>F18*17.6</f>
        <v>2868.8</v>
      </c>
      <c r="G29" s="24">
        <f>SUM(E29:F29)</f>
        <v>2933.1200000000003</v>
      </c>
      <c r="H29" s="24">
        <f>SUM(G29,D29)</f>
        <v>2933.1200000000003</v>
      </c>
    </row>
    <row r="30" spans="1:8" ht="12.75">
      <c r="A30" s="52" t="s">
        <v>46</v>
      </c>
      <c r="B30" s="23">
        <v>0</v>
      </c>
      <c r="C30" s="23">
        <v>0</v>
      </c>
      <c r="D30" s="23">
        <f>SUM(B30:C30)</f>
        <v>0</v>
      </c>
      <c r="E30" s="23">
        <f>E19*5.36</f>
        <v>128.64000000000001</v>
      </c>
      <c r="F30" s="23">
        <f>F19*17.6</f>
        <v>3414.4</v>
      </c>
      <c r="G30" s="24">
        <f>SUM(E30:F30)</f>
        <v>3543.04</v>
      </c>
      <c r="H30" s="24">
        <f>SUM(G30,D30)</f>
        <v>3543.04</v>
      </c>
    </row>
    <row r="31" spans="1:8" ht="12.75">
      <c r="A31" s="52" t="s">
        <v>49</v>
      </c>
      <c r="B31" s="23">
        <v>0</v>
      </c>
      <c r="C31" s="23">
        <v>0</v>
      </c>
      <c r="D31" s="23">
        <f>SUM(B31:C31)</f>
        <v>0</v>
      </c>
      <c r="E31" s="23">
        <f>E20*5.36</f>
        <v>16.080000000000002</v>
      </c>
      <c r="F31" s="23">
        <f>F20*17.6</f>
        <v>3062.4</v>
      </c>
      <c r="G31" s="24">
        <f>SUM(E31:F31)</f>
        <v>3078.48</v>
      </c>
      <c r="H31" s="24">
        <f>SUM(G31,D31)</f>
        <v>3078.48</v>
      </c>
    </row>
    <row r="32" spans="1:8" ht="12.75">
      <c r="A32" s="52" t="s">
        <v>58</v>
      </c>
      <c r="B32" s="23">
        <v>0</v>
      </c>
      <c r="C32" s="23">
        <v>0</v>
      </c>
      <c r="D32" s="23">
        <f>SUM(B32:C32)</f>
        <v>0</v>
      </c>
      <c r="E32" s="23">
        <f>E21*5.36</f>
        <v>0</v>
      </c>
      <c r="F32" s="23">
        <f>F21*17.6</f>
        <v>3168.0000000000005</v>
      </c>
      <c r="G32" s="24">
        <f>SUM(E32:F32)</f>
        <v>3168.0000000000005</v>
      </c>
      <c r="H32" s="24">
        <f>SUM(G32,D32)</f>
        <v>3168.0000000000005</v>
      </c>
    </row>
    <row r="33" spans="1:8" ht="12.75">
      <c r="A33" s="52" t="s">
        <v>60</v>
      </c>
      <c r="B33" s="23">
        <v>0</v>
      </c>
      <c r="C33" s="23">
        <v>0</v>
      </c>
      <c r="D33" s="23">
        <f>SUM(B33:C33)</f>
        <v>0</v>
      </c>
      <c r="E33" s="23">
        <f>E22*5.36</f>
        <v>0</v>
      </c>
      <c r="F33" s="23">
        <f>F22*17.6</f>
        <v>4452.8</v>
      </c>
      <c r="G33" s="24">
        <f>SUM(E33:F33)</f>
        <v>4452.8</v>
      </c>
      <c r="H33" s="24">
        <f>SUM(G33,D33)</f>
        <v>4452.8</v>
      </c>
    </row>
    <row r="34" spans="1:8" ht="12.75">
      <c r="A34" s="28"/>
      <c r="B34" s="11"/>
      <c r="C34" s="11"/>
      <c r="D34" s="11"/>
      <c r="E34" s="11"/>
      <c r="F34" s="11"/>
      <c r="G34" s="13"/>
      <c r="H34" s="13"/>
    </row>
    <row r="36" ht="12.75">
      <c r="A36" s="98" t="s">
        <v>44</v>
      </c>
    </row>
    <row r="37" spans="1:6" ht="12.75">
      <c r="A37" s="27" t="s">
        <v>55</v>
      </c>
      <c r="B37" s="3"/>
      <c r="C37" s="3"/>
      <c r="D37" s="3"/>
      <c r="E37" s="3"/>
      <c r="F37" s="3"/>
    </row>
    <row r="38" spans="1:6" ht="12.75">
      <c r="A38" s="65"/>
      <c r="B38" s="3"/>
      <c r="C38" s="3"/>
      <c r="D38" s="3"/>
      <c r="E38" s="3"/>
      <c r="F38" s="3"/>
    </row>
    <row r="39" spans="1:6" ht="12.75">
      <c r="A39" s="65"/>
      <c r="B39" s="3"/>
      <c r="C39" s="3"/>
      <c r="D39" s="3"/>
      <c r="E39" s="3"/>
      <c r="F39" s="3"/>
    </row>
  </sheetData>
  <printOptions/>
  <pageMargins left="1" right="0.25" top="1" bottom="0.75" header="0.5" footer="0.25"/>
  <pageSetup fitToHeight="1" fitToWidth="1" horizontalDpi="600" verticalDpi="600" orientation="landscape" scale="94" r:id="rId3"/>
  <headerFooter alignWithMargins="0">
    <oddHeader>&amp;CThe University of Alabama in Huntsville
Unit Academic Reports 
</oddHeader>
    <oddFooter>&amp;L&amp;8Office of Institutional Research
&amp;D (np)
&amp;F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4"/>
  <sheetViews>
    <sheetView workbookViewId="0" topLeftCell="A1">
      <selection activeCell="A2" sqref="A2"/>
    </sheetView>
  </sheetViews>
  <sheetFormatPr defaultColWidth="9.140625" defaultRowHeight="12.75" customHeight="1"/>
  <cols>
    <col min="1" max="1" width="18.7109375" style="27" customWidth="1"/>
    <col min="2" max="15" width="7.28125" style="3" customWidth="1"/>
    <col min="16" max="18" width="6.7109375" style="3" customWidth="1"/>
    <col min="19" max="16384" width="9.140625" style="3" customWidth="1"/>
  </cols>
  <sheetData>
    <row r="1" spans="1:16" ht="12.75" customHeight="1">
      <c r="A1" s="1" t="s">
        <v>25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0.5" customHeigh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8" ht="12.75" customHeight="1">
      <c r="A3" s="28"/>
      <c r="B3" s="34" t="s">
        <v>1</v>
      </c>
      <c r="C3" s="35"/>
      <c r="D3" s="34" t="s">
        <v>2</v>
      </c>
      <c r="E3" s="35"/>
      <c r="F3" s="34" t="s">
        <v>3</v>
      </c>
      <c r="G3" s="35"/>
      <c r="H3" s="34" t="s">
        <v>4</v>
      </c>
      <c r="I3" s="35"/>
      <c r="J3" s="34" t="s">
        <v>5</v>
      </c>
      <c r="K3" s="35"/>
      <c r="L3" s="127" t="s">
        <v>6</v>
      </c>
      <c r="M3" s="128"/>
      <c r="N3" s="34" t="s">
        <v>40</v>
      </c>
      <c r="O3" s="35"/>
      <c r="P3" s="34" t="s">
        <v>7</v>
      </c>
      <c r="Q3" s="35"/>
      <c r="R3" s="30" t="s">
        <v>8</v>
      </c>
    </row>
    <row r="4" spans="1:18" ht="12.75" customHeight="1">
      <c r="A4" s="7" t="s">
        <v>64</v>
      </c>
      <c r="B4" s="31" t="s">
        <v>9</v>
      </c>
      <c r="C4" s="32" t="s">
        <v>10</v>
      </c>
      <c r="D4" s="31" t="s">
        <v>9</v>
      </c>
      <c r="E4" s="32" t="s">
        <v>10</v>
      </c>
      <c r="F4" s="31" t="s">
        <v>9</v>
      </c>
      <c r="G4" s="32" t="s">
        <v>10</v>
      </c>
      <c r="H4" s="31" t="s">
        <v>9</v>
      </c>
      <c r="I4" s="32" t="s">
        <v>10</v>
      </c>
      <c r="J4" s="31" t="s">
        <v>9</v>
      </c>
      <c r="K4" s="32" t="s">
        <v>10</v>
      </c>
      <c r="L4" s="31" t="s">
        <v>9</v>
      </c>
      <c r="M4" s="32" t="s">
        <v>10</v>
      </c>
      <c r="N4" s="31" t="s">
        <v>9</v>
      </c>
      <c r="O4" s="32" t="s">
        <v>10</v>
      </c>
      <c r="P4" s="31" t="s">
        <v>9</v>
      </c>
      <c r="Q4" s="32" t="s">
        <v>10</v>
      </c>
      <c r="R4" s="33" t="s">
        <v>7</v>
      </c>
    </row>
    <row r="5" spans="1:18" ht="12.75" customHeight="1">
      <c r="A5" s="28"/>
      <c r="B5" s="4"/>
      <c r="C5" s="5"/>
      <c r="D5" s="4"/>
      <c r="E5" s="5"/>
      <c r="F5" s="4"/>
      <c r="G5" s="5"/>
      <c r="H5" s="4"/>
      <c r="I5" s="5"/>
      <c r="J5" s="4"/>
      <c r="K5" s="5"/>
      <c r="L5" s="4"/>
      <c r="M5" s="5"/>
      <c r="N5" s="4"/>
      <c r="O5" s="5"/>
      <c r="P5" s="4"/>
      <c r="Q5" s="5"/>
      <c r="R5" s="10"/>
    </row>
    <row r="6" spans="1:18" ht="12.75" customHeight="1">
      <c r="A6" s="17" t="s">
        <v>43</v>
      </c>
      <c r="B6" s="44">
        <v>13</v>
      </c>
      <c r="C6" s="45">
        <v>22</v>
      </c>
      <c r="D6" s="44">
        <v>3</v>
      </c>
      <c r="E6" s="45">
        <v>7</v>
      </c>
      <c r="F6" s="44">
        <v>1</v>
      </c>
      <c r="G6" s="45">
        <v>0</v>
      </c>
      <c r="H6" s="44">
        <v>2</v>
      </c>
      <c r="I6" s="45">
        <v>0</v>
      </c>
      <c r="J6" s="44">
        <v>1</v>
      </c>
      <c r="K6" s="45">
        <v>0</v>
      </c>
      <c r="L6" s="44">
        <v>1</v>
      </c>
      <c r="M6" s="45">
        <v>2</v>
      </c>
      <c r="N6" s="44">
        <v>0</v>
      </c>
      <c r="O6" s="45">
        <v>0</v>
      </c>
      <c r="P6" s="44">
        <f aca="true" t="shared" si="0" ref="P6:Q10">N6+L6+J6+H6+F6+D6+B6</f>
        <v>21</v>
      </c>
      <c r="Q6" s="45">
        <f t="shared" si="0"/>
        <v>31</v>
      </c>
      <c r="R6" s="46">
        <f>Q6+P6</f>
        <v>52</v>
      </c>
    </row>
    <row r="7" spans="1:18" ht="12.75" customHeight="1">
      <c r="A7" s="52" t="s">
        <v>46</v>
      </c>
      <c r="B7" s="44">
        <v>11</v>
      </c>
      <c r="C7" s="45">
        <v>17</v>
      </c>
      <c r="D7" s="44">
        <v>0</v>
      </c>
      <c r="E7" s="45">
        <v>2</v>
      </c>
      <c r="F7" s="44">
        <v>1</v>
      </c>
      <c r="G7" s="45">
        <v>1</v>
      </c>
      <c r="H7" s="44">
        <v>2</v>
      </c>
      <c r="I7" s="45">
        <v>0</v>
      </c>
      <c r="J7" s="44">
        <v>0</v>
      </c>
      <c r="K7" s="45">
        <v>0</v>
      </c>
      <c r="L7" s="44">
        <v>0</v>
      </c>
      <c r="M7" s="45">
        <v>0</v>
      </c>
      <c r="N7" s="44">
        <v>0</v>
      </c>
      <c r="O7" s="45">
        <v>0</v>
      </c>
      <c r="P7" s="44">
        <f t="shared" si="0"/>
        <v>14</v>
      </c>
      <c r="Q7" s="45">
        <f t="shared" si="0"/>
        <v>20</v>
      </c>
      <c r="R7" s="46">
        <f>Q7+P7</f>
        <v>34</v>
      </c>
    </row>
    <row r="8" spans="1:18" ht="12.75" customHeight="1">
      <c r="A8" s="52" t="s">
        <v>49</v>
      </c>
      <c r="B8" s="44">
        <v>8</v>
      </c>
      <c r="C8" s="45">
        <v>32</v>
      </c>
      <c r="D8" s="44">
        <v>1</v>
      </c>
      <c r="E8" s="45">
        <v>9</v>
      </c>
      <c r="F8" s="44">
        <v>0</v>
      </c>
      <c r="G8" s="45">
        <v>0</v>
      </c>
      <c r="H8" s="44">
        <v>2</v>
      </c>
      <c r="I8" s="45">
        <v>4</v>
      </c>
      <c r="J8" s="44">
        <v>0</v>
      </c>
      <c r="K8" s="45">
        <v>0</v>
      </c>
      <c r="L8" s="44">
        <v>2</v>
      </c>
      <c r="M8" s="45">
        <v>1</v>
      </c>
      <c r="N8" s="44">
        <v>1</v>
      </c>
      <c r="O8" s="45">
        <v>0</v>
      </c>
      <c r="P8" s="44">
        <f t="shared" si="0"/>
        <v>14</v>
      </c>
      <c r="Q8" s="45">
        <f t="shared" si="0"/>
        <v>46</v>
      </c>
      <c r="R8" s="46">
        <f>Q8+P8</f>
        <v>60</v>
      </c>
    </row>
    <row r="9" spans="1:18" ht="12.75" customHeight="1">
      <c r="A9" s="52" t="s">
        <v>58</v>
      </c>
      <c r="B9" s="44">
        <v>7</v>
      </c>
      <c r="C9" s="45">
        <v>32</v>
      </c>
      <c r="D9" s="44">
        <v>0</v>
      </c>
      <c r="E9" s="45">
        <v>14</v>
      </c>
      <c r="F9" s="44">
        <v>1</v>
      </c>
      <c r="G9" s="45">
        <v>0</v>
      </c>
      <c r="H9" s="44">
        <v>1</v>
      </c>
      <c r="I9" s="45">
        <v>2</v>
      </c>
      <c r="J9" s="44">
        <v>0</v>
      </c>
      <c r="K9" s="45">
        <v>0</v>
      </c>
      <c r="L9" s="44">
        <v>1</v>
      </c>
      <c r="M9" s="45">
        <v>0</v>
      </c>
      <c r="N9" s="44">
        <v>0</v>
      </c>
      <c r="O9" s="45">
        <v>1</v>
      </c>
      <c r="P9" s="44">
        <f t="shared" si="0"/>
        <v>10</v>
      </c>
      <c r="Q9" s="45">
        <f t="shared" si="0"/>
        <v>49</v>
      </c>
      <c r="R9" s="46">
        <f>Q9+P9</f>
        <v>59</v>
      </c>
    </row>
    <row r="10" spans="1:18" ht="12.75" customHeight="1">
      <c r="A10" s="52" t="s">
        <v>60</v>
      </c>
      <c r="B10" s="44">
        <v>20</v>
      </c>
      <c r="C10" s="45">
        <v>20</v>
      </c>
      <c r="D10" s="44">
        <v>1</v>
      </c>
      <c r="E10" s="45">
        <v>14</v>
      </c>
      <c r="F10" s="44">
        <v>0</v>
      </c>
      <c r="G10" s="45">
        <v>2</v>
      </c>
      <c r="H10" s="44">
        <v>1</v>
      </c>
      <c r="I10" s="45">
        <v>2</v>
      </c>
      <c r="J10" s="44">
        <v>0</v>
      </c>
      <c r="K10" s="45">
        <v>0</v>
      </c>
      <c r="L10" s="44">
        <v>0</v>
      </c>
      <c r="M10" s="45">
        <v>3</v>
      </c>
      <c r="N10" s="44">
        <v>1</v>
      </c>
      <c r="O10" s="45">
        <v>0</v>
      </c>
      <c r="P10" s="44">
        <f t="shared" si="0"/>
        <v>23</v>
      </c>
      <c r="Q10" s="45">
        <f t="shared" si="0"/>
        <v>41</v>
      </c>
      <c r="R10" s="46">
        <f>Q10+P10</f>
        <v>64</v>
      </c>
    </row>
    <row r="11" spans="2:18" ht="10.5" customHeight="1">
      <c r="B11" s="11"/>
      <c r="C11" s="12"/>
      <c r="D11" s="11"/>
      <c r="E11" s="12"/>
      <c r="F11" s="11"/>
      <c r="G11" s="12"/>
      <c r="H11" s="11"/>
      <c r="I11" s="12"/>
      <c r="J11" s="11"/>
      <c r="K11" s="12"/>
      <c r="L11" s="11"/>
      <c r="M11" s="12"/>
      <c r="N11" s="11"/>
      <c r="O11" s="12"/>
      <c r="P11" s="11"/>
      <c r="Q11" s="12"/>
      <c r="R11" s="13"/>
    </row>
    <row r="12" spans="1:16" ht="10.5" customHeight="1">
      <c r="A12" s="7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2.75" customHeight="1">
      <c r="A13" s="28"/>
      <c r="B13" s="34" t="s">
        <v>1</v>
      </c>
      <c r="C13" s="35"/>
      <c r="D13" s="34" t="s">
        <v>2</v>
      </c>
      <c r="E13" s="35"/>
      <c r="F13" s="34" t="s">
        <v>3</v>
      </c>
      <c r="G13" s="35"/>
      <c r="H13" s="34" t="s">
        <v>4</v>
      </c>
      <c r="I13" s="35"/>
      <c r="J13" s="34" t="s">
        <v>5</v>
      </c>
      <c r="K13" s="35"/>
      <c r="L13" s="127" t="s">
        <v>6</v>
      </c>
      <c r="M13" s="128"/>
      <c r="N13" s="34" t="s">
        <v>40</v>
      </c>
      <c r="O13" s="35"/>
      <c r="P13" s="34" t="s">
        <v>7</v>
      </c>
      <c r="Q13" s="35"/>
      <c r="R13" s="30" t="s">
        <v>8</v>
      </c>
    </row>
    <row r="14" spans="1:18" ht="12.75" customHeight="1">
      <c r="A14" s="54" t="s">
        <v>63</v>
      </c>
      <c r="B14" s="31" t="s">
        <v>9</v>
      </c>
      <c r="C14" s="32" t="s">
        <v>10</v>
      </c>
      <c r="D14" s="31" t="s">
        <v>9</v>
      </c>
      <c r="E14" s="32" t="s">
        <v>10</v>
      </c>
      <c r="F14" s="31" t="s">
        <v>9</v>
      </c>
      <c r="G14" s="32" t="s">
        <v>10</v>
      </c>
      <c r="H14" s="31" t="s">
        <v>9</v>
      </c>
      <c r="I14" s="32" t="s">
        <v>10</v>
      </c>
      <c r="J14" s="31" t="s">
        <v>9</v>
      </c>
      <c r="K14" s="32" t="s">
        <v>10</v>
      </c>
      <c r="L14" s="31" t="s">
        <v>9</v>
      </c>
      <c r="M14" s="32" t="s">
        <v>10</v>
      </c>
      <c r="N14" s="31" t="s">
        <v>9</v>
      </c>
      <c r="O14" s="32" t="s">
        <v>10</v>
      </c>
      <c r="P14" s="31" t="s">
        <v>9</v>
      </c>
      <c r="Q14" s="32" t="s">
        <v>10</v>
      </c>
      <c r="R14" s="33" t="s">
        <v>7</v>
      </c>
    </row>
    <row r="15" spans="1:18" ht="10.5" customHeight="1">
      <c r="A15" s="28"/>
      <c r="B15" s="4"/>
      <c r="C15" s="5"/>
      <c r="D15" s="4"/>
      <c r="E15" s="5"/>
      <c r="F15" s="4"/>
      <c r="G15" s="5"/>
      <c r="H15" s="4"/>
      <c r="I15" s="5"/>
      <c r="J15" s="4"/>
      <c r="K15" s="5"/>
      <c r="L15" s="4"/>
      <c r="M15" s="5"/>
      <c r="N15" s="4"/>
      <c r="O15" s="5"/>
      <c r="P15" s="4"/>
      <c r="Q15" s="5"/>
      <c r="R15" s="10"/>
    </row>
    <row r="16" spans="1:18" ht="12.75" customHeight="1">
      <c r="A16" s="17" t="s">
        <v>43</v>
      </c>
      <c r="B16" s="44">
        <v>1</v>
      </c>
      <c r="C16" s="45">
        <v>3</v>
      </c>
      <c r="D16" s="44">
        <v>1</v>
      </c>
      <c r="E16" s="45">
        <v>0</v>
      </c>
      <c r="F16" s="44">
        <v>1</v>
      </c>
      <c r="G16" s="45">
        <v>0</v>
      </c>
      <c r="H16" s="44">
        <v>0</v>
      </c>
      <c r="I16" s="45">
        <v>0</v>
      </c>
      <c r="J16" s="44">
        <v>0</v>
      </c>
      <c r="K16" s="45">
        <v>0</v>
      </c>
      <c r="L16" s="44">
        <v>1</v>
      </c>
      <c r="M16" s="45">
        <v>0</v>
      </c>
      <c r="N16" s="44">
        <v>0</v>
      </c>
      <c r="O16" s="45">
        <v>0</v>
      </c>
      <c r="P16" s="44">
        <f aca="true" t="shared" si="1" ref="P16:Q20">N16+L16+J16+H16+F16+D16+B16</f>
        <v>4</v>
      </c>
      <c r="Q16" s="45">
        <f t="shared" si="1"/>
        <v>3</v>
      </c>
      <c r="R16" s="46">
        <f>Q16+P16</f>
        <v>7</v>
      </c>
    </row>
    <row r="17" spans="1:18" ht="12.75" customHeight="1">
      <c r="A17" s="52" t="s">
        <v>46</v>
      </c>
      <c r="B17" s="44">
        <v>1</v>
      </c>
      <c r="C17" s="45">
        <v>3</v>
      </c>
      <c r="D17" s="44">
        <v>0</v>
      </c>
      <c r="E17" s="45">
        <v>0</v>
      </c>
      <c r="F17" s="44">
        <v>0</v>
      </c>
      <c r="G17" s="45">
        <v>0</v>
      </c>
      <c r="H17" s="44">
        <v>0</v>
      </c>
      <c r="I17" s="45">
        <v>1</v>
      </c>
      <c r="J17" s="44">
        <v>0</v>
      </c>
      <c r="K17" s="45">
        <v>0</v>
      </c>
      <c r="L17" s="44">
        <v>0</v>
      </c>
      <c r="M17" s="45">
        <v>0</v>
      </c>
      <c r="N17" s="44">
        <v>0</v>
      </c>
      <c r="O17" s="45">
        <v>0</v>
      </c>
      <c r="P17" s="44">
        <f t="shared" si="1"/>
        <v>1</v>
      </c>
      <c r="Q17" s="45">
        <f t="shared" si="1"/>
        <v>4</v>
      </c>
      <c r="R17" s="46">
        <f>Q17+P17</f>
        <v>5</v>
      </c>
    </row>
    <row r="18" spans="1:18" ht="12.75" customHeight="1">
      <c r="A18" s="52" t="s">
        <v>49</v>
      </c>
      <c r="B18" s="44">
        <v>1</v>
      </c>
      <c r="C18" s="45">
        <v>6</v>
      </c>
      <c r="D18" s="44">
        <v>0</v>
      </c>
      <c r="E18" s="45">
        <v>1</v>
      </c>
      <c r="F18" s="44">
        <v>0</v>
      </c>
      <c r="G18" s="45">
        <v>0</v>
      </c>
      <c r="H18" s="44">
        <v>0</v>
      </c>
      <c r="I18" s="45">
        <v>0</v>
      </c>
      <c r="J18" s="44">
        <v>0</v>
      </c>
      <c r="K18" s="45">
        <v>0</v>
      </c>
      <c r="L18" s="44">
        <v>0</v>
      </c>
      <c r="M18" s="45">
        <v>0</v>
      </c>
      <c r="N18" s="44">
        <v>0</v>
      </c>
      <c r="O18" s="45">
        <v>0</v>
      </c>
      <c r="P18" s="44">
        <f t="shared" si="1"/>
        <v>1</v>
      </c>
      <c r="Q18" s="45">
        <f t="shared" si="1"/>
        <v>7</v>
      </c>
      <c r="R18" s="46">
        <f>Q18+P18</f>
        <v>8</v>
      </c>
    </row>
    <row r="19" spans="1:18" ht="12.75" customHeight="1">
      <c r="A19" s="52" t="s">
        <v>58</v>
      </c>
      <c r="B19" s="44">
        <v>0</v>
      </c>
      <c r="C19" s="45">
        <v>3</v>
      </c>
      <c r="D19" s="44">
        <v>1</v>
      </c>
      <c r="E19" s="45">
        <v>1</v>
      </c>
      <c r="F19" s="44">
        <v>0</v>
      </c>
      <c r="G19" s="45">
        <v>0</v>
      </c>
      <c r="H19" s="44">
        <v>0</v>
      </c>
      <c r="I19" s="45">
        <v>0</v>
      </c>
      <c r="J19" s="44">
        <v>0</v>
      </c>
      <c r="K19" s="45">
        <v>0</v>
      </c>
      <c r="L19" s="44">
        <v>0</v>
      </c>
      <c r="M19" s="45">
        <v>2</v>
      </c>
      <c r="N19" s="44">
        <v>0</v>
      </c>
      <c r="O19" s="45">
        <v>0</v>
      </c>
      <c r="P19" s="44">
        <f t="shared" si="1"/>
        <v>1</v>
      </c>
      <c r="Q19" s="45">
        <f t="shared" si="1"/>
        <v>6</v>
      </c>
      <c r="R19" s="46">
        <f>Q19+P19</f>
        <v>7</v>
      </c>
    </row>
    <row r="20" spans="1:18" ht="12.75" customHeight="1">
      <c r="A20" s="52" t="s">
        <v>60</v>
      </c>
      <c r="B20" s="44">
        <v>0</v>
      </c>
      <c r="C20" s="45">
        <v>6</v>
      </c>
      <c r="D20" s="44">
        <v>0</v>
      </c>
      <c r="E20" s="45">
        <v>0</v>
      </c>
      <c r="F20" s="44">
        <v>1</v>
      </c>
      <c r="G20" s="45">
        <v>0</v>
      </c>
      <c r="H20" s="44">
        <v>0</v>
      </c>
      <c r="I20" s="45">
        <v>0</v>
      </c>
      <c r="J20" s="44">
        <v>0</v>
      </c>
      <c r="K20" s="45">
        <v>0</v>
      </c>
      <c r="L20" s="44">
        <v>1</v>
      </c>
      <c r="M20" s="45">
        <v>0</v>
      </c>
      <c r="N20" s="44">
        <v>0</v>
      </c>
      <c r="O20" s="45">
        <v>0</v>
      </c>
      <c r="P20" s="44">
        <f t="shared" si="1"/>
        <v>2</v>
      </c>
      <c r="Q20" s="45">
        <f t="shared" si="1"/>
        <v>6</v>
      </c>
      <c r="R20" s="46">
        <f>Q20+P20</f>
        <v>8</v>
      </c>
    </row>
    <row r="21" spans="2:18" ht="10.5" customHeight="1">
      <c r="B21" s="11"/>
      <c r="C21" s="12"/>
      <c r="D21" s="11"/>
      <c r="E21" s="12"/>
      <c r="F21" s="11"/>
      <c r="G21" s="12"/>
      <c r="H21" s="11"/>
      <c r="I21" s="12"/>
      <c r="J21" s="11"/>
      <c r="K21" s="12"/>
      <c r="L21" s="11"/>
      <c r="M21" s="12"/>
      <c r="N21" s="11"/>
      <c r="O21" s="12"/>
      <c r="P21" s="11"/>
      <c r="Q21" s="12"/>
      <c r="R21" s="13"/>
    </row>
    <row r="22" spans="2:16" ht="10.5" customHeight="1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</row>
    <row r="23" spans="1:16" ht="12.75" customHeight="1">
      <c r="A23" s="7" t="s">
        <v>17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</row>
    <row r="24" spans="1:18" ht="12.75" customHeight="1">
      <c r="A24" s="7" t="s">
        <v>12</v>
      </c>
      <c r="B24" s="34" t="s">
        <v>1</v>
      </c>
      <c r="C24" s="35"/>
      <c r="D24" s="34" t="s">
        <v>2</v>
      </c>
      <c r="E24" s="35"/>
      <c r="F24" s="34" t="s">
        <v>3</v>
      </c>
      <c r="G24" s="35"/>
      <c r="H24" s="34" t="s">
        <v>4</v>
      </c>
      <c r="I24" s="35"/>
      <c r="J24" s="34" t="s">
        <v>5</v>
      </c>
      <c r="K24" s="35"/>
      <c r="L24" s="127" t="s">
        <v>6</v>
      </c>
      <c r="M24" s="128"/>
      <c r="N24" s="127" t="s">
        <v>40</v>
      </c>
      <c r="O24" s="128"/>
      <c r="P24" s="34" t="s">
        <v>7</v>
      </c>
      <c r="Q24" s="35"/>
      <c r="R24" s="30" t="s">
        <v>8</v>
      </c>
    </row>
    <row r="25" spans="1:18" ht="12.75" customHeight="1">
      <c r="A25" s="7" t="s">
        <v>13</v>
      </c>
      <c r="B25" s="31" t="s">
        <v>9</v>
      </c>
      <c r="C25" s="32" t="s">
        <v>10</v>
      </c>
      <c r="D25" s="31" t="s">
        <v>9</v>
      </c>
      <c r="E25" s="32" t="s">
        <v>10</v>
      </c>
      <c r="F25" s="31" t="s">
        <v>9</v>
      </c>
      <c r="G25" s="32" t="s">
        <v>10</v>
      </c>
      <c r="H25" s="31" t="s">
        <v>9</v>
      </c>
      <c r="I25" s="32" t="s">
        <v>10</v>
      </c>
      <c r="J25" s="31" t="s">
        <v>9</v>
      </c>
      <c r="K25" s="32" t="s">
        <v>10</v>
      </c>
      <c r="L25" s="31" t="s">
        <v>9</v>
      </c>
      <c r="M25" s="32" t="s">
        <v>10</v>
      </c>
      <c r="N25" s="31" t="s">
        <v>9</v>
      </c>
      <c r="O25" s="32" t="s">
        <v>10</v>
      </c>
      <c r="P25" s="31" t="s">
        <v>9</v>
      </c>
      <c r="Q25" s="32" t="s">
        <v>10</v>
      </c>
      <c r="R25" s="33" t="s">
        <v>7</v>
      </c>
    </row>
    <row r="26" spans="1:18" ht="10.5" customHeight="1">
      <c r="A26" s="7"/>
      <c r="B26" s="14"/>
      <c r="C26" s="15"/>
      <c r="D26" s="14"/>
      <c r="E26" s="15"/>
      <c r="F26" s="14"/>
      <c r="G26" s="15"/>
      <c r="H26" s="14"/>
      <c r="I26" s="15"/>
      <c r="J26" s="14"/>
      <c r="K26" s="15"/>
      <c r="L26" s="14"/>
      <c r="M26" s="15"/>
      <c r="N26" s="14"/>
      <c r="O26" s="15"/>
      <c r="P26" s="14"/>
      <c r="Q26" s="15"/>
      <c r="R26" s="16"/>
    </row>
    <row r="27" spans="1:18" s="2" customFormat="1" ht="12.75" customHeight="1">
      <c r="A27" s="17" t="s">
        <v>43</v>
      </c>
      <c r="B27" s="44">
        <v>95</v>
      </c>
      <c r="C27" s="48">
        <v>169</v>
      </c>
      <c r="D27" s="44">
        <v>16</v>
      </c>
      <c r="E27" s="48">
        <v>58</v>
      </c>
      <c r="F27" s="44">
        <v>1</v>
      </c>
      <c r="G27" s="48">
        <v>6</v>
      </c>
      <c r="H27" s="44">
        <v>8</v>
      </c>
      <c r="I27" s="48">
        <v>11</v>
      </c>
      <c r="J27" s="44">
        <v>3</v>
      </c>
      <c r="K27" s="48">
        <v>0</v>
      </c>
      <c r="L27" s="44">
        <v>4</v>
      </c>
      <c r="M27" s="48">
        <v>3</v>
      </c>
      <c r="N27" s="44">
        <v>0</v>
      </c>
      <c r="O27" s="48">
        <v>1</v>
      </c>
      <c r="P27" s="44">
        <f aca="true" t="shared" si="2" ref="P27:Q31">N27+L27+J27+H27+F27+D27+B27</f>
        <v>127</v>
      </c>
      <c r="Q27" s="45">
        <f t="shared" si="2"/>
        <v>248</v>
      </c>
      <c r="R27" s="46">
        <f>Q27+P27</f>
        <v>375</v>
      </c>
    </row>
    <row r="28" spans="1:18" s="2" customFormat="1" ht="12.75" customHeight="1">
      <c r="A28" s="52" t="s">
        <v>46</v>
      </c>
      <c r="B28" s="44">
        <v>106</v>
      </c>
      <c r="C28" s="48">
        <v>174</v>
      </c>
      <c r="D28" s="44">
        <v>15</v>
      </c>
      <c r="E28" s="48">
        <v>70</v>
      </c>
      <c r="F28" s="44">
        <v>3</v>
      </c>
      <c r="G28" s="48">
        <v>7</v>
      </c>
      <c r="H28" s="44">
        <v>9</v>
      </c>
      <c r="I28" s="48">
        <v>10</v>
      </c>
      <c r="J28" s="44">
        <v>1</v>
      </c>
      <c r="K28" s="48">
        <v>3</v>
      </c>
      <c r="L28" s="44">
        <v>7</v>
      </c>
      <c r="M28" s="48">
        <v>4</v>
      </c>
      <c r="N28" s="44">
        <v>4</v>
      </c>
      <c r="O28" s="48">
        <v>4</v>
      </c>
      <c r="P28" s="44">
        <f t="shared" si="2"/>
        <v>145</v>
      </c>
      <c r="Q28" s="45">
        <f t="shared" si="2"/>
        <v>272</v>
      </c>
      <c r="R28" s="46">
        <f>Q28+P28</f>
        <v>417</v>
      </c>
    </row>
    <row r="29" spans="1:18" s="2" customFormat="1" ht="12.75" customHeight="1">
      <c r="A29" s="52" t="s">
        <v>49</v>
      </c>
      <c r="B29" s="44">
        <v>88</v>
      </c>
      <c r="C29" s="48">
        <v>189</v>
      </c>
      <c r="D29" s="44">
        <v>11</v>
      </c>
      <c r="E29" s="48">
        <v>68</v>
      </c>
      <c r="F29" s="44">
        <v>3</v>
      </c>
      <c r="G29" s="48">
        <v>5</v>
      </c>
      <c r="H29" s="44">
        <v>4</v>
      </c>
      <c r="I29" s="48">
        <v>10</v>
      </c>
      <c r="J29" s="44">
        <v>1</v>
      </c>
      <c r="K29" s="48">
        <v>6</v>
      </c>
      <c r="L29" s="44">
        <v>7</v>
      </c>
      <c r="M29" s="48">
        <v>4</v>
      </c>
      <c r="N29" s="44">
        <v>6</v>
      </c>
      <c r="O29" s="48">
        <v>7</v>
      </c>
      <c r="P29" s="44">
        <f t="shared" si="2"/>
        <v>120</v>
      </c>
      <c r="Q29" s="45">
        <f t="shared" si="2"/>
        <v>289</v>
      </c>
      <c r="R29" s="46">
        <f>Q29+P29</f>
        <v>409</v>
      </c>
    </row>
    <row r="30" spans="1:18" s="2" customFormat="1" ht="12.75" customHeight="1">
      <c r="A30" s="52" t="s">
        <v>58</v>
      </c>
      <c r="B30" s="44">
        <v>100</v>
      </c>
      <c r="C30" s="48">
        <v>193</v>
      </c>
      <c r="D30" s="44">
        <v>14</v>
      </c>
      <c r="E30" s="48">
        <v>68</v>
      </c>
      <c r="F30" s="44">
        <v>1</v>
      </c>
      <c r="G30" s="48">
        <v>8</v>
      </c>
      <c r="H30" s="44">
        <v>5</v>
      </c>
      <c r="I30" s="48">
        <v>10</v>
      </c>
      <c r="J30" s="44">
        <v>2</v>
      </c>
      <c r="K30" s="48">
        <v>5</v>
      </c>
      <c r="L30" s="44">
        <v>5</v>
      </c>
      <c r="M30" s="48">
        <v>6</v>
      </c>
      <c r="N30" s="44">
        <v>7</v>
      </c>
      <c r="O30" s="48">
        <v>6</v>
      </c>
      <c r="P30" s="44">
        <f t="shared" si="2"/>
        <v>134</v>
      </c>
      <c r="Q30" s="48">
        <f t="shared" si="2"/>
        <v>296</v>
      </c>
      <c r="R30" s="46">
        <f>Q30+P30</f>
        <v>430</v>
      </c>
    </row>
    <row r="31" spans="1:18" s="2" customFormat="1" ht="12.75" customHeight="1">
      <c r="A31" s="52" t="s">
        <v>60</v>
      </c>
      <c r="B31" s="44">
        <v>117</v>
      </c>
      <c r="C31" s="48">
        <v>167</v>
      </c>
      <c r="D31" s="44">
        <v>19</v>
      </c>
      <c r="E31" s="48">
        <v>65</v>
      </c>
      <c r="F31" s="44">
        <v>2</v>
      </c>
      <c r="G31" s="48">
        <v>14</v>
      </c>
      <c r="H31" s="44">
        <v>4</v>
      </c>
      <c r="I31" s="48">
        <v>11</v>
      </c>
      <c r="J31" s="44">
        <v>3</v>
      </c>
      <c r="K31" s="48">
        <v>5</v>
      </c>
      <c r="L31" s="44">
        <v>8</v>
      </c>
      <c r="M31" s="48">
        <v>9</v>
      </c>
      <c r="N31" s="44">
        <v>8</v>
      </c>
      <c r="O31" s="48">
        <v>7</v>
      </c>
      <c r="P31" s="44">
        <f t="shared" si="2"/>
        <v>161</v>
      </c>
      <c r="Q31" s="48">
        <f t="shared" si="2"/>
        <v>278</v>
      </c>
      <c r="R31" s="46">
        <f>Q31+P31</f>
        <v>439</v>
      </c>
    </row>
    <row r="32" spans="1:18" ht="10.5" customHeight="1">
      <c r="A32" s="7"/>
      <c r="B32" s="11"/>
      <c r="C32" s="20"/>
      <c r="D32" s="11"/>
      <c r="E32" s="20"/>
      <c r="F32" s="11"/>
      <c r="G32" s="20"/>
      <c r="H32" s="11"/>
      <c r="I32" s="20"/>
      <c r="J32" s="11"/>
      <c r="K32" s="20"/>
      <c r="L32" s="11"/>
      <c r="M32" s="20"/>
      <c r="N32" s="11"/>
      <c r="O32" s="20"/>
      <c r="P32" s="11"/>
      <c r="Q32" s="20"/>
      <c r="R32" s="13"/>
    </row>
    <row r="33" spans="1:16" ht="10.5" customHeight="1">
      <c r="A33" s="7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</row>
    <row r="34" spans="1:16" ht="12.75" customHeight="1">
      <c r="A34" s="7" t="s">
        <v>11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</row>
    <row r="35" spans="1:18" ht="12.75" customHeight="1">
      <c r="A35" s="7" t="s">
        <v>12</v>
      </c>
      <c r="B35" s="34" t="s">
        <v>1</v>
      </c>
      <c r="C35" s="35"/>
      <c r="D35" s="34" t="s">
        <v>2</v>
      </c>
      <c r="E35" s="35"/>
      <c r="F35" s="34" t="s">
        <v>3</v>
      </c>
      <c r="G35" s="35"/>
      <c r="H35" s="34" t="s">
        <v>4</v>
      </c>
      <c r="I35" s="35"/>
      <c r="J35" s="34" t="s">
        <v>5</v>
      </c>
      <c r="K35" s="35"/>
      <c r="L35" s="127" t="s">
        <v>6</v>
      </c>
      <c r="M35" s="128"/>
      <c r="N35" s="127" t="s">
        <v>40</v>
      </c>
      <c r="O35" s="128"/>
      <c r="P35" s="34" t="s">
        <v>7</v>
      </c>
      <c r="Q35" s="35"/>
      <c r="R35" s="30" t="s">
        <v>8</v>
      </c>
    </row>
    <row r="36" spans="1:18" ht="12.75" customHeight="1">
      <c r="A36" s="7" t="s">
        <v>13</v>
      </c>
      <c r="B36" s="31" t="s">
        <v>9</v>
      </c>
      <c r="C36" s="32" t="s">
        <v>10</v>
      </c>
      <c r="D36" s="31" t="s">
        <v>9</v>
      </c>
      <c r="E36" s="32" t="s">
        <v>10</v>
      </c>
      <c r="F36" s="31" t="s">
        <v>9</v>
      </c>
      <c r="G36" s="32" t="s">
        <v>10</v>
      </c>
      <c r="H36" s="31" t="s">
        <v>9</v>
      </c>
      <c r="I36" s="32" t="s">
        <v>10</v>
      </c>
      <c r="J36" s="31" t="s">
        <v>9</v>
      </c>
      <c r="K36" s="32" t="s">
        <v>10</v>
      </c>
      <c r="L36" s="31" t="s">
        <v>9</v>
      </c>
      <c r="M36" s="32" t="s">
        <v>10</v>
      </c>
      <c r="N36" s="31" t="s">
        <v>9</v>
      </c>
      <c r="O36" s="32" t="s">
        <v>10</v>
      </c>
      <c r="P36" s="31" t="s">
        <v>9</v>
      </c>
      <c r="Q36" s="32" t="s">
        <v>10</v>
      </c>
      <c r="R36" s="33" t="s">
        <v>7</v>
      </c>
    </row>
    <row r="37" spans="1:18" ht="10.5" customHeight="1">
      <c r="A37" s="7"/>
      <c r="B37" s="14"/>
      <c r="C37" s="15"/>
      <c r="D37" s="14"/>
      <c r="E37" s="15"/>
      <c r="F37" s="14"/>
      <c r="G37" s="15"/>
      <c r="H37" s="14"/>
      <c r="I37" s="15"/>
      <c r="J37" s="14"/>
      <c r="K37" s="15"/>
      <c r="L37" s="14"/>
      <c r="M37" s="15"/>
      <c r="N37" s="14"/>
      <c r="O37" s="15"/>
      <c r="P37" s="14"/>
      <c r="Q37" s="15"/>
      <c r="R37" s="16"/>
    </row>
    <row r="38" spans="1:18" s="2" customFormat="1" ht="12.75" customHeight="1">
      <c r="A38" s="17" t="s">
        <v>43</v>
      </c>
      <c r="B38" s="44">
        <v>0</v>
      </c>
      <c r="C38" s="48">
        <v>17</v>
      </c>
      <c r="D38" s="44">
        <v>3</v>
      </c>
      <c r="E38" s="48">
        <v>4</v>
      </c>
      <c r="F38" s="44">
        <v>1</v>
      </c>
      <c r="G38" s="48">
        <v>0</v>
      </c>
      <c r="H38" s="44">
        <v>0</v>
      </c>
      <c r="I38" s="48">
        <v>1</v>
      </c>
      <c r="J38" s="44">
        <v>0</v>
      </c>
      <c r="K38" s="48">
        <v>0</v>
      </c>
      <c r="L38" s="44">
        <v>1</v>
      </c>
      <c r="M38" s="48">
        <v>2</v>
      </c>
      <c r="N38" s="44">
        <v>0</v>
      </c>
      <c r="O38" s="48">
        <v>0</v>
      </c>
      <c r="P38" s="44">
        <f aca="true" t="shared" si="3" ref="P38:Q42">N38+L38+J38+H38+F38+D38+B38</f>
        <v>5</v>
      </c>
      <c r="Q38" s="48">
        <f t="shared" si="3"/>
        <v>24</v>
      </c>
      <c r="R38" s="46">
        <f>Q38+P38</f>
        <v>29</v>
      </c>
    </row>
    <row r="39" spans="1:18" s="2" customFormat="1" ht="12.75" customHeight="1">
      <c r="A39" s="52" t="s">
        <v>46</v>
      </c>
      <c r="B39" s="44">
        <v>1</v>
      </c>
      <c r="C39" s="48">
        <v>19</v>
      </c>
      <c r="D39" s="44">
        <v>3</v>
      </c>
      <c r="E39" s="48">
        <v>3</v>
      </c>
      <c r="F39" s="44">
        <v>1</v>
      </c>
      <c r="G39" s="48">
        <v>0</v>
      </c>
      <c r="H39" s="44">
        <v>0</v>
      </c>
      <c r="I39" s="48">
        <v>1</v>
      </c>
      <c r="J39" s="44">
        <v>0</v>
      </c>
      <c r="K39" s="48">
        <v>0</v>
      </c>
      <c r="L39" s="44">
        <v>0</v>
      </c>
      <c r="M39" s="48">
        <v>1</v>
      </c>
      <c r="N39" s="44">
        <v>0</v>
      </c>
      <c r="O39" s="48">
        <v>1</v>
      </c>
      <c r="P39" s="44">
        <f t="shared" si="3"/>
        <v>5</v>
      </c>
      <c r="Q39" s="48">
        <f t="shared" si="3"/>
        <v>25</v>
      </c>
      <c r="R39" s="46">
        <f>Q39+P39</f>
        <v>30</v>
      </c>
    </row>
    <row r="40" spans="1:18" s="2" customFormat="1" ht="12.75" customHeight="1">
      <c r="A40" s="52" t="s">
        <v>49</v>
      </c>
      <c r="B40" s="44">
        <v>3</v>
      </c>
      <c r="C40" s="48">
        <v>18</v>
      </c>
      <c r="D40" s="44">
        <v>2</v>
      </c>
      <c r="E40" s="48">
        <v>2</v>
      </c>
      <c r="F40" s="44">
        <v>1</v>
      </c>
      <c r="G40" s="48">
        <v>0</v>
      </c>
      <c r="H40" s="44">
        <v>0</v>
      </c>
      <c r="I40" s="48">
        <v>0</v>
      </c>
      <c r="J40" s="44">
        <v>0</v>
      </c>
      <c r="K40" s="48">
        <v>0</v>
      </c>
      <c r="L40" s="44">
        <v>1</v>
      </c>
      <c r="M40" s="48">
        <v>1</v>
      </c>
      <c r="N40" s="44">
        <v>0</v>
      </c>
      <c r="O40" s="48">
        <v>0</v>
      </c>
      <c r="P40" s="44">
        <f t="shared" si="3"/>
        <v>7</v>
      </c>
      <c r="Q40" s="48">
        <f t="shared" si="3"/>
        <v>21</v>
      </c>
      <c r="R40" s="46">
        <f>Q40+P40</f>
        <v>28</v>
      </c>
    </row>
    <row r="41" spans="1:18" s="2" customFormat="1" ht="12.75" customHeight="1">
      <c r="A41" s="52" t="s">
        <v>58</v>
      </c>
      <c r="B41" s="44">
        <v>4</v>
      </c>
      <c r="C41" s="48">
        <v>14</v>
      </c>
      <c r="D41" s="44">
        <v>2</v>
      </c>
      <c r="E41" s="48">
        <v>0</v>
      </c>
      <c r="F41" s="44">
        <v>1</v>
      </c>
      <c r="G41" s="48">
        <v>0</v>
      </c>
      <c r="H41" s="44">
        <v>0</v>
      </c>
      <c r="I41" s="48">
        <v>0</v>
      </c>
      <c r="J41" s="44">
        <v>0</v>
      </c>
      <c r="K41" s="48">
        <v>0</v>
      </c>
      <c r="L41" s="44">
        <v>1</v>
      </c>
      <c r="M41" s="48">
        <v>5</v>
      </c>
      <c r="N41" s="44">
        <v>0</v>
      </c>
      <c r="O41" s="48">
        <v>1</v>
      </c>
      <c r="P41" s="44">
        <f t="shared" si="3"/>
        <v>8</v>
      </c>
      <c r="Q41" s="48">
        <f t="shared" si="3"/>
        <v>20</v>
      </c>
      <c r="R41" s="46">
        <f>Q41+P41</f>
        <v>28</v>
      </c>
    </row>
    <row r="42" spans="1:18" s="2" customFormat="1" ht="12.75" customHeight="1">
      <c r="A42" s="52" t="s">
        <v>60</v>
      </c>
      <c r="B42" s="44">
        <v>3</v>
      </c>
      <c r="C42" s="48">
        <v>13</v>
      </c>
      <c r="D42" s="44">
        <v>1</v>
      </c>
      <c r="E42" s="48">
        <v>1</v>
      </c>
      <c r="F42" s="44">
        <v>0</v>
      </c>
      <c r="G42" s="48">
        <v>0</v>
      </c>
      <c r="H42" s="44">
        <v>0</v>
      </c>
      <c r="I42" s="48">
        <v>0</v>
      </c>
      <c r="J42" s="44">
        <v>0</v>
      </c>
      <c r="K42" s="48">
        <v>0</v>
      </c>
      <c r="L42" s="44">
        <v>4</v>
      </c>
      <c r="M42" s="48">
        <v>5</v>
      </c>
      <c r="N42" s="44">
        <v>0</v>
      </c>
      <c r="O42" s="48">
        <v>1</v>
      </c>
      <c r="P42" s="44">
        <f t="shared" si="3"/>
        <v>8</v>
      </c>
      <c r="Q42" s="48">
        <f t="shared" si="3"/>
        <v>20</v>
      </c>
      <c r="R42" s="46">
        <f>Q42+P42</f>
        <v>28</v>
      </c>
    </row>
    <row r="43" spans="1:18" ht="10.5" customHeight="1">
      <c r="A43" s="7"/>
      <c r="B43" s="11"/>
      <c r="C43" s="20"/>
      <c r="D43" s="11"/>
      <c r="E43" s="20"/>
      <c r="F43" s="11"/>
      <c r="G43" s="20"/>
      <c r="H43" s="11"/>
      <c r="I43" s="20"/>
      <c r="J43" s="11"/>
      <c r="K43" s="20"/>
      <c r="L43" s="11"/>
      <c r="M43" s="20"/>
      <c r="N43" s="11"/>
      <c r="O43" s="20"/>
      <c r="P43" s="11"/>
      <c r="Q43" s="20"/>
      <c r="R43" s="13"/>
    </row>
    <row r="45" ht="12.75" customHeight="1">
      <c r="A45" s="38"/>
    </row>
    <row r="72" s="2" customFormat="1" ht="12.75" customHeight="1">
      <c r="A72" s="29"/>
    </row>
    <row r="82" s="2" customFormat="1" ht="12.75" customHeight="1">
      <c r="A82" s="29"/>
    </row>
    <row r="83" s="2" customFormat="1" ht="12.75" customHeight="1">
      <c r="A83" s="29"/>
    </row>
    <row r="124" s="2" customFormat="1" ht="12.75" customHeight="1">
      <c r="A124" s="29"/>
    </row>
    <row r="134" s="2" customFormat="1" ht="12.75" customHeight="1">
      <c r="A134" s="29"/>
    </row>
    <row r="174" s="2" customFormat="1" ht="12.75" customHeight="1">
      <c r="A174" s="29"/>
    </row>
    <row r="184" s="2" customFormat="1" ht="12.75" customHeight="1">
      <c r="A184" s="29"/>
    </row>
    <row r="206" s="2" customFormat="1" ht="12.75" customHeight="1">
      <c r="A206" s="29"/>
    </row>
    <row r="227" s="2" customFormat="1" ht="12.75" customHeight="1">
      <c r="A227" s="29"/>
    </row>
    <row r="248" s="2" customFormat="1" ht="12.75" customHeight="1">
      <c r="A248" s="29"/>
    </row>
    <row r="289" s="2" customFormat="1" ht="12.75" customHeight="1">
      <c r="A289" s="29"/>
    </row>
    <row r="299" s="2" customFormat="1" ht="12.75" customHeight="1">
      <c r="A299" s="29"/>
    </row>
    <row r="310" s="2" customFormat="1" ht="12.75" customHeight="1">
      <c r="A310" s="29"/>
    </row>
    <row r="323" s="2" customFormat="1" ht="12.75" customHeight="1">
      <c r="A323" s="29"/>
    </row>
    <row r="364" s="2" customFormat="1" ht="12.75" customHeight="1">
      <c r="A364" s="29"/>
    </row>
  </sheetData>
  <mergeCells count="6">
    <mergeCell ref="L13:M13"/>
    <mergeCell ref="L3:M3"/>
    <mergeCell ref="N24:O24"/>
    <mergeCell ref="N35:O35"/>
    <mergeCell ref="L35:M35"/>
    <mergeCell ref="L24:M24"/>
  </mergeCells>
  <printOptions/>
  <pageMargins left="1" right="0.25" top="1" bottom="0.75" header="0.5" footer="0.25"/>
  <pageSetup fitToHeight="1" fitToWidth="1" horizontalDpi="300" verticalDpi="300" orientation="landscape" scale="89" r:id="rId3"/>
  <headerFooter alignWithMargins="0">
    <oddHeader>&amp;CThe University of Alabama in Huntsville
Unit Academic Reports 
</oddHeader>
    <oddFooter>&amp;L&amp;8Office of Institutional Research
&amp;D (np)
&amp;F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60"/>
  <sheetViews>
    <sheetView workbookViewId="0" topLeftCell="A1">
      <selection activeCell="A2" sqref="A2"/>
    </sheetView>
  </sheetViews>
  <sheetFormatPr defaultColWidth="9.140625" defaultRowHeight="12.75" customHeight="1"/>
  <cols>
    <col min="1" max="1" width="25.7109375" style="27" customWidth="1"/>
    <col min="2" max="8" width="14.7109375" style="3" customWidth="1"/>
    <col min="9" max="16384" width="9.140625" style="3" customWidth="1"/>
  </cols>
  <sheetData>
    <row r="1" ht="12.75" customHeight="1">
      <c r="A1" s="1" t="s">
        <v>25</v>
      </c>
    </row>
    <row r="2" ht="12.75" customHeight="1">
      <c r="A2" s="7"/>
    </row>
    <row r="3" ht="12.75" customHeight="1">
      <c r="A3" s="7" t="s">
        <v>17</v>
      </c>
    </row>
    <row r="4" spans="1:4" s="38" customFormat="1" ht="12.75" customHeight="1">
      <c r="A4" s="26" t="s">
        <v>12</v>
      </c>
      <c r="B4" s="37" t="s">
        <v>16</v>
      </c>
      <c r="C4" s="37" t="s">
        <v>14</v>
      </c>
      <c r="D4" s="37" t="s">
        <v>15</v>
      </c>
    </row>
    <row r="5" spans="2:4" ht="12.75" customHeight="1">
      <c r="B5" s="10"/>
      <c r="C5" s="10"/>
      <c r="D5" s="10"/>
    </row>
    <row r="6" spans="1:4" s="2" customFormat="1" ht="12.75" customHeight="1">
      <c r="A6" s="7" t="s">
        <v>43</v>
      </c>
      <c r="B6" s="16">
        <v>150</v>
      </c>
      <c r="C6" s="16">
        <f>BYS!R27</f>
        <v>375</v>
      </c>
      <c r="D6" s="16">
        <v>327</v>
      </c>
    </row>
    <row r="7" spans="1:4" s="2" customFormat="1" ht="12.75" customHeight="1">
      <c r="A7" s="52" t="s">
        <v>46</v>
      </c>
      <c r="B7" s="16">
        <v>154</v>
      </c>
      <c r="C7" s="16">
        <f>BYS!R28</f>
        <v>417</v>
      </c>
      <c r="D7" s="16">
        <v>367</v>
      </c>
    </row>
    <row r="8" spans="1:4" s="2" customFormat="1" ht="12.75" customHeight="1">
      <c r="A8" s="52" t="s">
        <v>49</v>
      </c>
      <c r="B8" s="16">
        <v>174</v>
      </c>
      <c r="C8" s="16">
        <f>BYS!R29</f>
        <v>409</v>
      </c>
      <c r="D8" s="16">
        <v>380</v>
      </c>
    </row>
    <row r="9" spans="1:4" s="2" customFormat="1" ht="12.75" customHeight="1">
      <c r="A9" s="52" t="s">
        <v>58</v>
      </c>
      <c r="B9" s="16">
        <v>186</v>
      </c>
      <c r="C9" s="16">
        <f>BYS!R30</f>
        <v>430</v>
      </c>
      <c r="D9" s="16">
        <v>396</v>
      </c>
    </row>
    <row r="10" spans="1:4" s="2" customFormat="1" ht="12.75" customHeight="1">
      <c r="A10" s="52" t="s">
        <v>60</v>
      </c>
      <c r="B10" s="16">
        <v>171</v>
      </c>
      <c r="C10" s="16">
        <f>BYS!R31</f>
        <v>439</v>
      </c>
      <c r="D10" s="16">
        <v>418</v>
      </c>
    </row>
    <row r="11" spans="1:4" ht="12.75" customHeight="1">
      <c r="A11" s="7"/>
      <c r="B11" s="9"/>
      <c r="C11" s="9"/>
      <c r="D11" s="9"/>
    </row>
    <row r="13" ht="12.75" customHeight="1">
      <c r="A13" s="7" t="s">
        <v>11</v>
      </c>
    </row>
    <row r="14" spans="1:4" s="38" customFormat="1" ht="12.75" customHeight="1">
      <c r="A14" s="26" t="s">
        <v>12</v>
      </c>
      <c r="B14" s="37" t="s">
        <v>16</v>
      </c>
      <c r="C14" s="37" t="s">
        <v>14</v>
      </c>
      <c r="D14" s="37" t="s">
        <v>15</v>
      </c>
    </row>
    <row r="15" spans="2:4" ht="12.75" customHeight="1">
      <c r="B15" s="10"/>
      <c r="C15" s="10"/>
      <c r="D15" s="10"/>
    </row>
    <row r="16" spans="1:4" s="2" customFormat="1" ht="12.75" customHeight="1">
      <c r="A16" s="7" t="s">
        <v>43</v>
      </c>
      <c r="B16" s="16">
        <v>16</v>
      </c>
      <c r="C16" s="58">
        <f>SUM(BYS!R38)</f>
        <v>29</v>
      </c>
      <c r="D16" s="16">
        <v>29</v>
      </c>
    </row>
    <row r="17" spans="1:4" s="2" customFormat="1" ht="12.75" customHeight="1">
      <c r="A17" s="52" t="s">
        <v>46</v>
      </c>
      <c r="B17" s="16">
        <v>22</v>
      </c>
      <c r="C17" s="58">
        <f>SUM(BYS!R39)</f>
        <v>30</v>
      </c>
      <c r="D17" s="16">
        <v>25</v>
      </c>
    </row>
    <row r="18" spans="1:4" s="2" customFormat="1" ht="12.75" customHeight="1">
      <c r="A18" s="52" t="s">
        <v>49</v>
      </c>
      <c r="B18" s="16">
        <v>18</v>
      </c>
      <c r="C18" s="58">
        <f>SUM(BYS!R40)</f>
        <v>28</v>
      </c>
      <c r="D18" s="16">
        <v>27</v>
      </c>
    </row>
    <row r="19" spans="1:4" s="2" customFormat="1" ht="12.75" customHeight="1">
      <c r="A19" s="52" t="s">
        <v>58</v>
      </c>
      <c r="B19" s="16">
        <v>19</v>
      </c>
      <c r="C19" s="58">
        <f>SUM(BYS!R41)</f>
        <v>28</v>
      </c>
      <c r="D19" s="16">
        <v>27</v>
      </c>
    </row>
    <row r="20" spans="1:4" s="2" customFormat="1" ht="12.75" customHeight="1">
      <c r="A20" s="52" t="s">
        <v>60</v>
      </c>
      <c r="B20" s="16">
        <v>18</v>
      </c>
      <c r="C20" s="58">
        <f>SUM(BYS!R42)</f>
        <v>28</v>
      </c>
      <c r="D20" s="16">
        <v>25</v>
      </c>
    </row>
    <row r="21" spans="1:4" ht="12.75" customHeight="1">
      <c r="A21" s="7"/>
      <c r="B21" s="9"/>
      <c r="C21" s="9"/>
      <c r="D21" s="9"/>
    </row>
    <row r="23" spans="1:9" s="27" customFormat="1" ht="12.75" customHeight="1">
      <c r="A23" s="7" t="s">
        <v>48</v>
      </c>
      <c r="B23" s="36" t="s">
        <v>17</v>
      </c>
      <c r="C23" s="36" t="s">
        <v>17</v>
      </c>
      <c r="D23" s="36" t="s">
        <v>7</v>
      </c>
      <c r="E23" s="36" t="s">
        <v>11</v>
      </c>
      <c r="F23" s="36" t="s">
        <v>11</v>
      </c>
      <c r="G23" s="30" t="s">
        <v>7</v>
      </c>
      <c r="H23" s="30" t="s">
        <v>8</v>
      </c>
      <c r="I23" s="28"/>
    </row>
    <row r="24" spans="1:9" s="27" customFormat="1" ht="12.75" customHeight="1">
      <c r="A24" s="28"/>
      <c r="B24" s="31" t="s">
        <v>18</v>
      </c>
      <c r="C24" s="31" t="s">
        <v>19</v>
      </c>
      <c r="D24" s="31" t="s">
        <v>17</v>
      </c>
      <c r="E24" s="31" t="s">
        <v>20</v>
      </c>
      <c r="F24" s="31" t="s">
        <v>21</v>
      </c>
      <c r="G24" s="33" t="s">
        <v>11</v>
      </c>
      <c r="H24" s="33" t="s">
        <v>7</v>
      </c>
      <c r="I24" s="28"/>
    </row>
    <row r="25" spans="2:9" ht="12.75" customHeight="1">
      <c r="B25" s="4"/>
      <c r="C25" s="4"/>
      <c r="D25" s="4"/>
      <c r="E25" s="4"/>
      <c r="F25" s="4"/>
      <c r="G25" s="4"/>
      <c r="H25" s="49"/>
      <c r="I25"/>
    </row>
    <row r="26" spans="1:9" ht="12.75" customHeight="1">
      <c r="A26" s="7" t="s">
        <v>43</v>
      </c>
      <c r="B26" s="50">
        <v>4781</v>
      </c>
      <c r="C26" s="50">
        <v>2323</v>
      </c>
      <c r="D26" s="50">
        <f>C26+B26</f>
        <v>7104</v>
      </c>
      <c r="E26" s="50">
        <v>820</v>
      </c>
      <c r="F26" s="50">
        <v>0</v>
      </c>
      <c r="G26" s="50">
        <f>F26+E26</f>
        <v>820</v>
      </c>
      <c r="H26" s="51">
        <f>G26+D26</f>
        <v>7924</v>
      </c>
      <c r="I26"/>
    </row>
    <row r="27" spans="1:9" ht="12.75" customHeight="1">
      <c r="A27" s="52" t="s">
        <v>46</v>
      </c>
      <c r="B27" s="50">
        <f>488+2395+1810</f>
        <v>4693</v>
      </c>
      <c r="C27" s="50">
        <f>140+1013+1278</f>
        <v>2431</v>
      </c>
      <c r="D27" s="50">
        <f>C27+B27</f>
        <v>7124</v>
      </c>
      <c r="E27" s="50">
        <f>190+331+290</f>
        <v>811</v>
      </c>
      <c r="F27" s="50">
        <v>0</v>
      </c>
      <c r="G27" s="50">
        <f>F27+E27</f>
        <v>811</v>
      </c>
      <c r="H27" s="51">
        <f>G27+D27</f>
        <v>7935</v>
      </c>
      <c r="I27"/>
    </row>
    <row r="28" spans="1:9" ht="12.75" customHeight="1">
      <c r="A28" s="52" t="s">
        <v>49</v>
      </c>
      <c r="B28" s="50">
        <f>576+2394+1802</f>
        <v>4772</v>
      </c>
      <c r="C28" s="50">
        <f>230+1165+1524</f>
        <v>2919</v>
      </c>
      <c r="D28" s="50">
        <f>C28+B28</f>
        <v>7691</v>
      </c>
      <c r="E28" s="50">
        <f>106+391+301</f>
        <v>798</v>
      </c>
      <c r="F28" s="50">
        <v>0</v>
      </c>
      <c r="G28" s="50">
        <f>F28+E28</f>
        <v>798</v>
      </c>
      <c r="H28" s="51">
        <f>G28+D28</f>
        <v>8489</v>
      </c>
      <c r="I28"/>
    </row>
    <row r="29" spans="1:9" ht="12.75" customHeight="1">
      <c r="A29" s="52" t="s">
        <v>58</v>
      </c>
      <c r="B29" s="50">
        <v>4875</v>
      </c>
      <c r="C29" s="50">
        <v>2777</v>
      </c>
      <c r="D29" s="50">
        <f>C29+B29</f>
        <v>7652</v>
      </c>
      <c r="E29" s="50">
        <v>779</v>
      </c>
      <c r="F29" s="50">
        <v>0</v>
      </c>
      <c r="G29" s="50">
        <f>F29+E29</f>
        <v>779</v>
      </c>
      <c r="H29" s="51">
        <f>G29+D29</f>
        <v>8431</v>
      </c>
      <c r="I29"/>
    </row>
    <row r="30" spans="1:9" ht="12.75" customHeight="1">
      <c r="A30" s="52" t="s">
        <v>60</v>
      </c>
      <c r="B30" s="50">
        <v>4984</v>
      </c>
      <c r="C30" s="50">
        <v>3053</v>
      </c>
      <c r="D30" s="50">
        <f>C30+B30</f>
        <v>8037</v>
      </c>
      <c r="E30" s="50">
        <v>632</v>
      </c>
      <c r="F30" s="50">
        <v>0</v>
      </c>
      <c r="G30" s="50">
        <f>F30+E30</f>
        <v>632</v>
      </c>
      <c r="H30" s="51">
        <f>G30+D30</f>
        <v>8669</v>
      </c>
      <c r="I30"/>
    </row>
    <row r="31" spans="1:9" ht="12.75" customHeight="1">
      <c r="A31" s="28"/>
      <c r="B31" s="11"/>
      <c r="C31" s="11"/>
      <c r="D31" s="11"/>
      <c r="E31" s="11"/>
      <c r="F31" s="11"/>
      <c r="G31" s="11"/>
      <c r="H31" s="13"/>
      <c r="I31"/>
    </row>
    <row r="33" spans="1:8" s="27" customFormat="1" ht="12.75" customHeight="1">
      <c r="A33" s="7" t="s">
        <v>47</v>
      </c>
      <c r="B33" s="36" t="s">
        <v>17</v>
      </c>
      <c r="C33" s="36" t="s">
        <v>17</v>
      </c>
      <c r="D33" s="36" t="s">
        <v>7</v>
      </c>
      <c r="E33" s="36" t="s">
        <v>11</v>
      </c>
      <c r="F33" s="36" t="s">
        <v>22</v>
      </c>
      <c r="G33" s="36" t="s">
        <v>23</v>
      </c>
      <c r="H33" s="30" t="s">
        <v>8</v>
      </c>
    </row>
    <row r="34" spans="1:8" s="27" customFormat="1" ht="12.75" customHeight="1">
      <c r="A34" s="28"/>
      <c r="B34" s="31" t="s">
        <v>18</v>
      </c>
      <c r="C34" s="31" t="s">
        <v>19</v>
      </c>
      <c r="D34" s="31" t="s">
        <v>17</v>
      </c>
      <c r="E34" s="31" t="s">
        <v>20</v>
      </c>
      <c r="F34" s="31" t="s">
        <v>21</v>
      </c>
      <c r="G34" s="31" t="s">
        <v>11</v>
      </c>
      <c r="H34" s="33" t="s">
        <v>7</v>
      </c>
    </row>
    <row r="35" spans="2:8" ht="12.75" customHeight="1">
      <c r="B35" s="14"/>
      <c r="C35" s="14"/>
      <c r="D35" s="14"/>
      <c r="E35" s="14"/>
      <c r="F35" s="14"/>
      <c r="G35" s="14"/>
      <c r="H35" s="16"/>
    </row>
    <row r="36" spans="1:8" ht="12.75" customHeight="1">
      <c r="A36" s="7" t="s">
        <v>43</v>
      </c>
      <c r="B36" s="23">
        <f>SUM(B26*1.1)</f>
        <v>5259.1</v>
      </c>
      <c r="C36" s="23">
        <f>SUM(C26*1.48)</f>
        <v>3438.04</v>
      </c>
      <c r="D36" s="23">
        <f>C36+B36</f>
        <v>8697.14</v>
      </c>
      <c r="E36" s="23">
        <f>SUM(E26*5.36)</f>
        <v>4395.2</v>
      </c>
      <c r="F36" s="23">
        <f>SUM(F26*17.6)</f>
        <v>0</v>
      </c>
      <c r="G36" s="23">
        <f>F36+E36</f>
        <v>4395.2</v>
      </c>
      <c r="H36" s="24">
        <f>G36+D36</f>
        <v>13092.34</v>
      </c>
    </row>
    <row r="37" spans="1:8" ht="12.75" customHeight="1">
      <c r="A37" s="52" t="s">
        <v>46</v>
      </c>
      <c r="B37" s="23">
        <f>SUM(B27*1.1)</f>
        <v>5162.3</v>
      </c>
      <c r="C37" s="23">
        <f>SUM(C27*1.48)</f>
        <v>3597.88</v>
      </c>
      <c r="D37" s="23">
        <f>C37+B37</f>
        <v>8760.18</v>
      </c>
      <c r="E37" s="23">
        <f>SUM(E27*5.36)</f>
        <v>4346.96</v>
      </c>
      <c r="F37" s="23">
        <f>SUM(F27*17.6)</f>
        <v>0</v>
      </c>
      <c r="G37" s="23">
        <f>F37+E37</f>
        <v>4346.96</v>
      </c>
      <c r="H37" s="24">
        <f>G37+D37</f>
        <v>13107.14</v>
      </c>
    </row>
    <row r="38" spans="1:8" ht="12.75" customHeight="1">
      <c r="A38" s="52" t="s">
        <v>49</v>
      </c>
      <c r="B38" s="23">
        <f>SUM(B28*1.1)</f>
        <v>5249.200000000001</v>
      </c>
      <c r="C38" s="23">
        <f>SUM(C28*1.48)</f>
        <v>4320.12</v>
      </c>
      <c r="D38" s="23">
        <f>C38+B38</f>
        <v>9569.32</v>
      </c>
      <c r="E38" s="23">
        <f>SUM(E28*5.36)</f>
        <v>4277.280000000001</v>
      </c>
      <c r="F38" s="23">
        <f>SUM(F28*17.6)</f>
        <v>0</v>
      </c>
      <c r="G38" s="23">
        <f>F38+E38</f>
        <v>4277.280000000001</v>
      </c>
      <c r="H38" s="24">
        <f>G38+D38</f>
        <v>13846.6</v>
      </c>
    </row>
    <row r="39" spans="1:8" ht="12.75" customHeight="1">
      <c r="A39" s="52" t="s">
        <v>58</v>
      </c>
      <c r="B39" s="23">
        <f>SUM(B29*1.1)</f>
        <v>5362.5</v>
      </c>
      <c r="C39" s="23">
        <f>SUM(C29*1.48)</f>
        <v>4109.96</v>
      </c>
      <c r="D39" s="23">
        <f>C39+B39</f>
        <v>9472.46</v>
      </c>
      <c r="E39" s="23">
        <f>SUM(E29*5.36)</f>
        <v>4175.4400000000005</v>
      </c>
      <c r="F39" s="23">
        <f>SUM(F29*17.6)</f>
        <v>0</v>
      </c>
      <c r="G39" s="23">
        <f>F39+E39</f>
        <v>4175.4400000000005</v>
      </c>
      <c r="H39" s="24">
        <f>G39+D39</f>
        <v>13647.9</v>
      </c>
    </row>
    <row r="40" spans="1:8" ht="12.75" customHeight="1">
      <c r="A40" s="52" t="s">
        <v>60</v>
      </c>
      <c r="B40" s="23">
        <f>SUM(B30*1.1)</f>
        <v>5482.400000000001</v>
      </c>
      <c r="C40" s="23">
        <f>SUM(C30*1.48)</f>
        <v>4518.44</v>
      </c>
      <c r="D40" s="23">
        <f>C40+B40</f>
        <v>10000.84</v>
      </c>
      <c r="E40" s="23">
        <f>SUM(E30*5.36)</f>
        <v>3387.52</v>
      </c>
      <c r="F40" s="23">
        <f>SUM(F30*17.6)</f>
        <v>0</v>
      </c>
      <c r="G40" s="23">
        <f>F40+E40</f>
        <v>3387.52</v>
      </c>
      <c r="H40" s="24">
        <f>G40+D40</f>
        <v>13388.36</v>
      </c>
    </row>
    <row r="41" spans="1:8" ht="12.75" customHeight="1">
      <c r="A41" s="28"/>
      <c r="B41" s="11"/>
      <c r="C41" s="11"/>
      <c r="D41" s="11"/>
      <c r="E41" s="11"/>
      <c r="F41" s="11"/>
      <c r="G41" s="11"/>
      <c r="H41" s="13"/>
    </row>
    <row r="43" ht="12.75" customHeight="1">
      <c r="A43" s="27" t="s">
        <v>50</v>
      </c>
    </row>
    <row r="52" spans="1:9" s="2" customFormat="1" ht="12.75" customHeight="1">
      <c r="A52" s="27"/>
      <c r="B52" s="3"/>
      <c r="C52" s="3"/>
      <c r="D52" s="3"/>
      <c r="E52" s="3"/>
      <c r="F52" s="3"/>
      <c r="G52" s="3"/>
      <c r="H52" s="3"/>
      <c r="I52" s="3"/>
    </row>
    <row r="61" spans="1:9" s="2" customFormat="1" ht="12.75" customHeight="1">
      <c r="A61" s="27"/>
      <c r="B61" s="3"/>
      <c r="C61" s="3"/>
      <c r="D61" s="3"/>
      <c r="E61" s="3"/>
      <c r="F61" s="3"/>
      <c r="G61" s="3"/>
      <c r="H61" s="3"/>
      <c r="I61" s="3"/>
    </row>
    <row r="94" spans="1:9" s="2" customFormat="1" ht="12.75" customHeight="1">
      <c r="A94" s="27"/>
      <c r="B94" s="3"/>
      <c r="C94" s="3"/>
      <c r="D94" s="3"/>
      <c r="E94" s="3"/>
      <c r="F94" s="3"/>
      <c r="G94" s="3"/>
      <c r="H94" s="3"/>
      <c r="I94" s="3"/>
    </row>
    <row r="160" spans="1:9" s="2" customFormat="1" ht="12.75" customHeight="1">
      <c r="A160" s="27"/>
      <c r="B160" s="3"/>
      <c r="C160" s="3"/>
      <c r="D160" s="3"/>
      <c r="E160" s="3"/>
      <c r="F160" s="3"/>
      <c r="G160" s="3"/>
      <c r="H160" s="3"/>
      <c r="I160" s="3"/>
    </row>
    <row r="170" spans="1:9" s="2" customFormat="1" ht="12.75" customHeight="1">
      <c r="A170" s="27"/>
      <c r="B170" s="3"/>
      <c r="C170" s="3"/>
      <c r="D170" s="3"/>
      <c r="E170" s="3"/>
      <c r="F170" s="3"/>
      <c r="G170" s="3"/>
      <c r="H170" s="3"/>
      <c r="I170" s="3"/>
    </row>
    <row r="235" spans="1:9" s="2" customFormat="1" ht="12.75" customHeight="1">
      <c r="A235" s="27"/>
      <c r="B235" s="3"/>
      <c r="C235" s="3"/>
      <c r="D235" s="3"/>
      <c r="E235" s="3"/>
      <c r="F235" s="3"/>
      <c r="G235" s="3"/>
      <c r="H235" s="3"/>
      <c r="I235" s="3"/>
    </row>
    <row r="268" spans="1:9" s="2" customFormat="1" ht="12.75" customHeight="1">
      <c r="A268" s="27"/>
      <c r="B268" s="3"/>
      <c r="C268" s="3"/>
      <c r="D268" s="3"/>
      <c r="E268" s="3"/>
      <c r="F268" s="3"/>
      <c r="G268" s="3"/>
      <c r="H268" s="3"/>
      <c r="I268" s="3"/>
    </row>
    <row r="299" spans="1:9" s="2" customFormat="1" ht="12.75" customHeight="1">
      <c r="A299" s="27"/>
      <c r="B299" s="3"/>
      <c r="C299" s="3"/>
      <c r="D299" s="3"/>
      <c r="E299" s="3"/>
      <c r="F299" s="3"/>
      <c r="G299" s="3"/>
      <c r="H299" s="3"/>
      <c r="I299" s="3"/>
    </row>
    <row r="308" spans="1:9" s="2" customFormat="1" ht="12.75" customHeight="1">
      <c r="A308" s="27"/>
      <c r="B308" s="3"/>
      <c r="C308" s="3"/>
      <c r="D308" s="3"/>
      <c r="E308" s="3"/>
      <c r="F308" s="3"/>
      <c r="G308" s="3"/>
      <c r="H308" s="3"/>
      <c r="I308" s="3"/>
    </row>
    <row r="339" spans="1:9" s="2" customFormat="1" ht="12.75" customHeight="1">
      <c r="A339" s="27"/>
      <c r="B339" s="3"/>
      <c r="C339" s="3"/>
      <c r="D339" s="3"/>
      <c r="E339" s="3"/>
      <c r="F339" s="3"/>
      <c r="G339" s="3"/>
      <c r="H339" s="3"/>
      <c r="I339" s="3"/>
    </row>
    <row r="343" ht="12.75" customHeight="1"/>
    <row r="360" spans="1:9" s="2" customFormat="1" ht="12.75" customHeight="1">
      <c r="A360" s="27"/>
      <c r="B360" s="3"/>
      <c r="C360" s="3"/>
      <c r="D360" s="3"/>
      <c r="E360" s="3"/>
      <c r="F360" s="3"/>
      <c r="G360" s="3"/>
      <c r="H360" s="3"/>
      <c r="I360" s="3"/>
    </row>
  </sheetData>
  <printOptions/>
  <pageMargins left="1" right="0.25" top="1" bottom="0.75" header="0.5" footer="0.25"/>
  <pageSetup fitToHeight="1" fitToWidth="1" horizontalDpi="300" verticalDpi="300" orientation="landscape" scale="91" r:id="rId1"/>
  <headerFooter alignWithMargins="0">
    <oddHeader>&amp;CThe University of Alabama in Huntsville
Unit Academic Reports 
</oddHeader>
    <oddFooter>&amp;L&amp;8Office of Institutional Research
&amp;D (np)
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Nathan</cp:lastModifiedBy>
  <cp:lastPrinted>2009-06-05T14:53:36Z</cp:lastPrinted>
  <dcterms:created xsi:type="dcterms:W3CDTF">1997-08-25T19:04:51Z</dcterms:created>
  <dcterms:modified xsi:type="dcterms:W3CDTF">2011-05-13T14:06:38Z</dcterms:modified>
  <cp:category/>
  <cp:version/>
  <cp:contentType/>
  <cp:contentStatus/>
</cp:coreProperties>
</file>