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375" windowHeight="4965" tabRatio="944" activeTab="0"/>
  </bookViews>
  <sheets>
    <sheet name="LA" sheetId="1" r:id="rId1"/>
    <sheet name="LA2" sheetId="2" r:id="rId2"/>
    <sheet name="ART" sheetId="3" r:id="rId3"/>
    <sheet name="ART2" sheetId="4" r:id="rId4"/>
    <sheet name="AHS2(SOC)" sheetId="5" r:id="rId5"/>
    <sheet name="CM" sheetId="6" r:id="rId6"/>
    <sheet name="CM2" sheetId="7" r:id="rId7"/>
    <sheet name="CTC" sheetId="8" r:id="rId8"/>
    <sheet name="ED" sheetId="9" r:id="rId9"/>
    <sheet name="ED2" sheetId="10" r:id="rId10"/>
    <sheet name="EH" sheetId="11" r:id="rId11"/>
    <sheet name="EH2" sheetId="12" r:id="rId12"/>
    <sheet name="EHL2" sheetId="13" r:id="rId13"/>
    <sheet name="ESL2" sheetId="14" r:id="rId14"/>
    <sheet name="EH Summary" sheetId="15" r:id="rId15"/>
    <sheet name="FLT" sheetId="16" r:id="rId16"/>
    <sheet name="FLT2" sheetId="17" r:id="rId17"/>
    <sheet name="HY" sheetId="18" r:id="rId18"/>
    <sheet name="HY2" sheetId="19" r:id="rId19"/>
    <sheet name="MU" sheetId="20" r:id="rId20"/>
    <sheet name="MU2" sheetId="21" r:id="rId21"/>
    <sheet name="PHL" sheetId="22" r:id="rId22"/>
    <sheet name="PHL2" sheetId="23" r:id="rId23"/>
    <sheet name="PSC" sheetId="24" r:id="rId24"/>
    <sheet name="PSC2" sheetId="25" r:id="rId25"/>
    <sheet name="PY" sheetId="26" r:id="rId26"/>
    <sheet name="PY2" sheetId="27" r:id="rId27"/>
    <sheet name="PA" sheetId="28" r:id="rId28"/>
    <sheet name="PA2" sheetId="29" r:id="rId29"/>
    <sheet name="SOC" sheetId="30" r:id="rId30"/>
    <sheet name="SOC2" sheetId="31" r:id="rId31"/>
    <sheet name="SS2" sheetId="32" r:id="rId32"/>
    <sheet name="TSOL" sheetId="33" r:id="rId33"/>
    <sheet name="WS2" sheetId="34" r:id="rId34"/>
    <sheet name="PEN&amp;UND" sheetId="35" r:id="rId35"/>
    <sheet name="PEN&amp;UND2" sheetId="36" r:id="rId36"/>
  </sheets>
  <definedNames/>
  <calcPr fullCalcOnLoad="1"/>
</workbook>
</file>

<file path=xl/comments10.xml><?xml version="1.0" encoding="utf-8"?>
<comments xmlns="http://schemas.openxmlformats.org/spreadsheetml/2006/main">
  <authors>
    <author>Laura</author>
  </authors>
  <commentList>
    <comment ref="C20" authorId="0">
      <text>
        <r>
          <rPr>
            <b/>
            <sz val="8"/>
            <rFont val="Tahoma"/>
            <family val="0"/>
          </rPr>
          <t>Laura:</t>
        </r>
        <r>
          <rPr>
            <sz val="8"/>
            <rFont val="Tahoma"/>
            <family val="0"/>
          </rPr>
          <t xml:space="preserve">
Includes 252 CH from EDC</t>
        </r>
      </text>
    </comment>
    <comment ref="C19" authorId="0">
      <text>
        <r>
          <rPr>
            <b/>
            <sz val="8"/>
            <rFont val="Tahoma"/>
            <family val="0"/>
          </rPr>
          <t>Laura:</t>
        </r>
        <r>
          <rPr>
            <sz val="8"/>
            <rFont val="Tahoma"/>
            <family val="0"/>
          </rPr>
          <t xml:space="preserve">
Includes 414 CH from EDC</t>
        </r>
      </text>
    </comment>
  </commentList>
</comments>
</file>

<file path=xl/sharedStrings.xml><?xml version="1.0" encoding="utf-8"?>
<sst xmlns="http://schemas.openxmlformats.org/spreadsheetml/2006/main" count="2264" uniqueCount="64">
  <si>
    <t>Art</t>
  </si>
  <si>
    <t>White</t>
  </si>
  <si>
    <t>African American</t>
  </si>
  <si>
    <t>Hispanic</t>
  </si>
  <si>
    <t>Asian/Pac. Isl.</t>
  </si>
  <si>
    <t>Am.Ind./Alaskan</t>
  </si>
  <si>
    <t>Nonresident Alien</t>
  </si>
  <si>
    <t>Total</t>
  </si>
  <si>
    <t>Grand</t>
  </si>
  <si>
    <t>Male</t>
  </si>
  <si>
    <t>Female</t>
  </si>
  <si>
    <t>Headcount Enrollment</t>
  </si>
  <si>
    <t>Fall Term</t>
  </si>
  <si>
    <t>Undergraduate</t>
  </si>
  <si>
    <t>Fall</t>
  </si>
  <si>
    <t>Spring</t>
  </si>
  <si>
    <t>Summer</t>
  </si>
  <si>
    <t>Graduate</t>
  </si>
  <si>
    <t>Lower Division</t>
  </si>
  <si>
    <t>Upper Division</t>
  </si>
  <si>
    <t>Level I</t>
  </si>
  <si>
    <t>Level II</t>
  </si>
  <si>
    <t xml:space="preserve">Graduate </t>
  </si>
  <si>
    <t xml:space="preserve">Total </t>
  </si>
  <si>
    <t>Communication</t>
  </si>
  <si>
    <t>Education</t>
  </si>
  <si>
    <t>English</t>
  </si>
  <si>
    <t>English Linguistics</t>
  </si>
  <si>
    <t>English as a Second Language</t>
  </si>
  <si>
    <t>English Summary (Including EH, EHL, EHT &amp; ESL)</t>
  </si>
  <si>
    <t>History</t>
  </si>
  <si>
    <t>Philosophy</t>
  </si>
  <si>
    <t>Political Science</t>
  </si>
  <si>
    <t>Psychology</t>
  </si>
  <si>
    <t>Public  Affairs</t>
  </si>
  <si>
    <t>Public Affairs</t>
  </si>
  <si>
    <t>Sociology</t>
  </si>
  <si>
    <t>Women's Studies</t>
  </si>
  <si>
    <t>Pending/Undecided</t>
  </si>
  <si>
    <t>College of Liberal Arts</t>
  </si>
  <si>
    <t xml:space="preserve">Teaching of English to Speakers of Other Languages </t>
  </si>
  <si>
    <t>Certificate in Technical Communications</t>
  </si>
  <si>
    <t>2002-03</t>
  </si>
  <si>
    <t>Certificate</t>
  </si>
  <si>
    <t>2003-04</t>
  </si>
  <si>
    <t>Unknown</t>
  </si>
  <si>
    <t>Social Science/Geography</t>
  </si>
  <si>
    <t>* Beginning Dec 2000, Foreign Languages were consolidated into Foreign Languages General with a concentration in International Trade</t>
  </si>
  <si>
    <t>2004-05</t>
  </si>
  <si>
    <t>Foreign Language General / International Trade*</t>
  </si>
  <si>
    <t>2005-06</t>
  </si>
  <si>
    <t>Arts, Humanities &amp; Science (Sociology)</t>
  </si>
  <si>
    <t>Music</t>
  </si>
  <si>
    <t>Unweighted Credit Hours**</t>
  </si>
  <si>
    <t>Weighted Credit Hours**</t>
  </si>
  <si>
    <t>Weighted Credit Hours*</t>
  </si>
  <si>
    <t>Unweighted Credit Hours*</t>
  </si>
  <si>
    <t>2006-07</t>
  </si>
  <si>
    <t xml:space="preserve">*Credit hours are calculated for Summer, Fall, and Spring. </t>
  </si>
  <si>
    <r>
      <t>*</t>
    </r>
    <r>
      <rPr>
        <b/>
        <sz val="8"/>
        <rFont val="MS Sans Serif"/>
        <family val="2"/>
      </rPr>
      <t xml:space="preserve"> Beginning Dec 2000, Foreign Languages were consolidated into Foreign Languages General with a concentration in International Trade. Credit Hours includes all FLT and FL hours.</t>
    </r>
  </si>
  <si>
    <t xml:space="preserve">** Credit hours are calculated for Summer, Fall, and Spring. </t>
  </si>
  <si>
    <t>Bachelors Degrees</t>
  </si>
  <si>
    <t>Masters Degrees</t>
  </si>
  <si>
    <t>Certificates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</si>
</sst>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\ \ \ \ \ \ \ "/>
    <numFmt numFmtId="165" formatCode="#,##0.00\ \ \ \ \ \ \ \ "/>
    <numFmt numFmtId="166" formatCode="#,##0.00\ \ \ \ \ \ \ \ \ \ "/>
    <numFmt numFmtId="167" formatCode="#,##0.0\ \ \ \ \ \ \ \ \ \ "/>
    <numFmt numFmtId="168" formatCode="#,##0\ \ \ \ \ \ \ "/>
    <numFmt numFmtId="169" formatCode="#,##0\ \ \ \ \ \ "/>
    <numFmt numFmtId="170" formatCode="#,##0\ \ \ \ \ "/>
    <numFmt numFmtId="171" formatCode="_(* #,##0.00_);_(* \(#,##0.00\);_(* &quot;-&quot;??_);\ _(@_)"/>
    <numFmt numFmtId="172" formatCode="00000"/>
    <numFmt numFmtId="173" formatCode="_(* #,##0_);_(* \(#,##0\);_(* &quot; -&quot;_);_(@_)"/>
    <numFmt numFmtId="174" formatCode="_(* #,##0_);_(* \(#,##0\);_(* &quot;- &quot;_);_(@_)"/>
    <numFmt numFmtId="175" formatCode="_(* #,##0_);_(* \(#,##0\);_(* &quot;  - &quot;_);_(@_)"/>
    <numFmt numFmtId="176" formatCode="_ \(* #,##0_);_(* \(#,##0\);_(* &quot;  - &quot;_);_(@_)"/>
    <numFmt numFmtId="177" formatCode="_(* #,##0.0_);_(* \(#,##0.0\);_(* &quot;-&quot;?_);_(@_)"/>
    <numFmt numFmtId="178" formatCode="_(* #,##0.00_);_(* \(#,##0.00\);_(\ &quot;-&quot;??_);_(@_)"/>
    <numFmt numFmtId="179" formatCode="_(* #,##0_);_(* \(#,##0\ \);_(* &quot;- &quot;_);_(@_)"/>
    <numFmt numFmtId="180" formatCode="_(* #,##0_);_(* \(#,##0\ \ \);_(* &quot;-  &quot;_);_(@_)"/>
    <numFmt numFmtId="181" formatCode="_(* #,##0.0_);_(* \(#,##0.0\);_(* &quot;-&quot;??_);_(@_)"/>
    <numFmt numFmtId="182" formatCode="_(* #,##0_);_(* \(#,##0\);_(* &quot;-&quot;??_);_(@_)"/>
    <numFmt numFmtId="183" formatCode="0\ \ \ \ 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MS Sans Serif"/>
      <family val="0"/>
    </font>
    <font>
      <sz val="8"/>
      <name val="MS Sans Serif"/>
      <family val="0"/>
    </font>
    <font>
      <b/>
      <sz val="8"/>
      <name val="MS Sans Serif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7" xfId="0" applyNumberFormat="1" applyFont="1" applyBorder="1" applyAlignment="1">
      <alignment/>
    </xf>
    <xf numFmtId="165" fontId="5" fillId="0" borderId="9" xfId="0" applyNumberFormat="1" applyFont="1" applyBorder="1" applyAlignment="1">
      <alignment/>
    </xf>
    <xf numFmtId="0" fontId="0" fillId="0" borderId="0" xfId="0" applyBorder="1" applyAlignment="1">
      <alignment/>
    </xf>
    <xf numFmtId="166" fontId="5" fillId="0" borderId="7" xfId="0" applyNumberFormat="1" applyFont="1" applyBorder="1" applyAlignment="1">
      <alignment/>
    </xf>
    <xf numFmtId="166" fontId="5" fillId="0" borderId="9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5" xfId="0" applyFill="1" applyBorder="1" applyAlignment="1">
      <alignment/>
    </xf>
    <xf numFmtId="0" fontId="0" fillId="0" borderId="4" xfId="0" applyFill="1" applyBorder="1" applyAlignment="1">
      <alignment/>
    </xf>
    <xf numFmtId="0" fontId="5" fillId="0" borderId="5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1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Fill="1" applyAlignment="1">
      <alignment/>
    </xf>
    <xf numFmtId="0" fontId="5" fillId="0" borderId="3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165" fontId="5" fillId="0" borderId="7" xfId="0" applyNumberFormat="1" applyFont="1" applyFill="1" applyBorder="1" applyAlignment="1">
      <alignment/>
    </xf>
    <xf numFmtId="169" fontId="5" fillId="0" borderId="7" xfId="0" applyNumberFormat="1" applyFont="1" applyBorder="1" applyAlignment="1">
      <alignment/>
    </xf>
    <xf numFmtId="169" fontId="5" fillId="0" borderId="8" xfId="0" applyNumberFormat="1" applyFont="1" applyBorder="1" applyAlignment="1">
      <alignment/>
    </xf>
    <xf numFmtId="169" fontId="5" fillId="0" borderId="9" xfId="0" applyNumberFormat="1" applyFont="1" applyBorder="1" applyAlignment="1">
      <alignment/>
    </xf>
    <xf numFmtId="170" fontId="5" fillId="0" borderId="7" xfId="0" applyNumberFormat="1" applyFont="1" applyBorder="1" applyAlignment="1">
      <alignment/>
    </xf>
    <xf numFmtId="170" fontId="5" fillId="0" borderId="8" xfId="0" applyNumberFormat="1" applyFont="1" applyBorder="1" applyAlignment="1">
      <alignment/>
    </xf>
    <xf numFmtId="170" fontId="5" fillId="0" borderId="0" xfId="0" applyNumberFormat="1" applyFont="1" applyBorder="1" applyAlignment="1">
      <alignment/>
    </xf>
    <xf numFmtId="170" fontId="5" fillId="0" borderId="9" xfId="0" applyNumberFormat="1" applyFont="1" applyBorder="1" applyAlignment="1">
      <alignment/>
    </xf>
    <xf numFmtId="170" fontId="5" fillId="0" borderId="7" xfId="0" applyNumberFormat="1" applyFont="1" applyBorder="1" applyAlignment="1">
      <alignment/>
    </xf>
    <xf numFmtId="170" fontId="5" fillId="0" borderId="9" xfId="0" applyNumberFormat="1" applyFont="1" applyBorder="1" applyAlignment="1">
      <alignment/>
    </xf>
    <xf numFmtId="169" fontId="5" fillId="0" borderId="5" xfId="0" applyNumberFormat="1" applyFont="1" applyBorder="1" applyAlignment="1">
      <alignment/>
    </xf>
    <xf numFmtId="169" fontId="5" fillId="0" borderId="6" xfId="0" applyNumberFormat="1" applyFont="1" applyBorder="1" applyAlignment="1">
      <alignment/>
    </xf>
    <xf numFmtId="164" fontId="5" fillId="0" borderId="5" xfId="0" applyNumberFormat="1" applyFont="1" applyBorder="1" applyAlignment="1">
      <alignment/>
    </xf>
    <xf numFmtId="164" fontId="5" fillId="0" borderId="4" xfId="0" applyNumberFormat="1" applyFont="1" applyBorder="1" applyAlignment="1">
      <alignment/>
    </xf>
    <xf numFmtId="0" fontId="5" fillId="0" borderId="5" xfId="0" applyFont="1" applyBorder="1" applyAlignment="1">
      <alignment horizontal="center"/>
    </xf>
    <xf numFmtId="167" fontId="5" fillId="0" borderId="7" xfId="0" applyNumberFormat="1" applyFont="1" applyBorder="1" applyAlignment="1">
      <alignment/>
    </xf>
    <xf numFmtId="167" fontId="5" fillId="0" borderId="9" xfId="0" applyNumberFormat="1" applyFont="1" applyBorder="1" applyAlignment="1">
      <alignment/>
    </xf>
    <xf numFmtId="167" fontId="5" fillId="0" borderId="5" xfId="0" applyNumberFormat="1" applyFont="1" applyBorder="1" applyAlignment="1">
      <alignment/>
    </xf>
    <xf numFmtId="167" fontId="5" fillId="0" borderId="4" xfId="0" applyNumberFormat="1" applyFont="1" applyBorder="1" applyAlignment="1">
      <alignment/>
    </xf>
    <xf numFmtId="167" fontId="5" fillId="0" borderId="1" xfId="0" applyNumberFormat="1" applyFont="1" applyBorder="1" applyAlignment="1">
      <alignment/>
    </xf>
    <xf numFmtId="167" fontId="5" fillId="0" borderId="3" xfId="0" applyNumberFormat="1" applyFont="1" applyBorder="1" applyAlignment="1">
      <alignment/>
    </xf>
    <xf numFmtId="167" fontId="5" fillId="0" borderId="7" xfId="0" applyNumberFormat="1" applyFont="1" applyFill="1" applyBorder="1" applyAlignment="1">
      <alignment/>
    </xf>
    <xf numFmtId="169" fontId="5" fillId="0" borderId="10" xfId="0" applyNumberFormat="1" applyFont="1" applyBorder="1" applyAlignment="1">
      <alignment/>
    </xf>
    <xf numFmtId="169" fontId="5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165" fontId="5" fillId="0" borderId="5" xfId="0" applyNumberFormat="1" applyFont="1" applyBorder="1" applyAlignment="1">
      <alignment/>
    </xf>
    <xf numFmtId="165" fontId="5" fillId="0" borderId="4" xfId="0" applyNumberFormat="1" applyFont="1" applyBorder="1" applyAlignment="1">
      <alignment/>
    </xf>
    <xf numFmtId="170" fontId="5" fillId="0" borderId="0" xfId="0" applyNumberFormat="1" applyFont="1" applyBorder="1" applyAlignment="1">
      <alignment/>
    </xf>
    <xf numFmtId="0" fontId="6" fillId="0" borderId="0" xfId="0" applyFont="1" applyAlignment="1" quotePrefix="1">
      <alignment horizontal="left"/>
    </xf>
    <xf numFmtId="0" fontId="1" fillId="0" borderId="0" xfId="0" applyFont="1" applyAlignment="1">
      <alignment/>
    </xf>
    <xf numFmtId="170" fontId="5" fillId="0" borderId="8" xfId="0" applyNumberFormat="1" applyFont="1" applyBorder="1" applyAlignment="1">
      <alignment/>
    </xf>
    <xf numFmtId="0" fontId="6" fillId="0" borderId="0" xfId="0" applyFont="1" applyAlignment="1" quotePrefix="1">
      <alignment horizontal="center"/>
    </xf>
    <xf numFmtId="0" fontId="6" fillId="0" borderId="0" xfId="0" applyFont="1" applyBorder="1" applyAlignment="1" quotePrefix="1">
      <alignment horizontal="center"/>
    </xf>
    <xf numFmtId="0" fontId="5" fillId="0" borderId="9" xfId="0" applyNumberFormat="1" applyFont="1" applyFill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6" fillId="0" borderId="0" xfId="0" applyFont="1" applyFill="1" applyAlignment="1" quotePrefix="1">
      <alignment horizontal="center"/>
    </xf>
    <xf numFmtId="0" fontId="6" fillId="0" borderId="0" xfId="0" applyFont="1" applyAlignment="1" quotePrefix="1">
      <alignment horizontal="left"/>
    </xf>
    <xf numFmtId="0" fontId="0" fillId="0" borderId="0" xfId="0" applyAlignment="1">
      <alignment horizontal="left"/>
    </xf>
    <xf numFmtId="2" fontId="5" fillId="0" borderId="7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43" fontId="5" fillId="0" borderId="7" xfId="0" applyNumberFormat="1" applyFont="1" applyBorder="1" applyAlignment="1">
      <alignment horizontal="center"/>
    </xf>
    <xf numFmtId="170" fontId="5" fillId="0" borderId="7" xfId="0" applyNumberFormat="1" applyFont="1" applyBorder="1" applyAlignment="1">
      <alignment/>
    </xf>
    <xf numFmtId="170" fontId="5" fillId="0" borderId="9" xfId="0" applyNumberFormat="1" applyFont="1" applyBorder="1" applyAlignment="1">
      <alignment/>
    </xf>
    <xf numFmtId="169" fontId="5" fillId="0" borderId="7" xfId="0" applyNumberFormat="1" applyFont="1" applyBorder="1" applyAlignment="1">
      <alignment horizontal="right"/>
    </xf>
    <xf numFmtId="169" fontId="5" fillId="0" borderId="9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12" xfId="0" applyFont="1" applyBorder="1" applyAlignment="1">
      <alignment horizontal="centerContinuous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183" fontId="5" fillId="0" borderId="7" xfId="0" applyNumberFormat="1" applyFont="1" applyBorder="1" applyAlignment="1">
      <alignment horizontal="right"/>
    </xf>
    <xf numFmtId="183" fontId="5" fillId="0" borderId="8" xfId="0" applyNumberFormat="1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83" fontId="5" fillId="0" borderId="9" xfId="0" applyNumberFormat="1" applyFont="1" applyBorder="1" applyAlignment="1">
      <alignment horizontal="right"/>
    </xf>
    <xf numFmtId="170" fontId="5" fillId="0" borderId="7" xfId="0" applyNumberFormat="1" applyFont="1" applyFill="1" applyBorder="1" applyAlignment="1">
      <alignment/>
    </xf>
    <xf numFmtId="170" fontId="5" fillId="0" borderId="8" xfId="0" applyNumberFormat="1" applyFont="1" applyFill="1" applyBorder="1" applyAlignment="1">
      <alignment/>
    </xf>
    <xf numFmtId="170" fontId="5" fillId="0" borderId="0" xfId="0" applyNumberFormat="1" applyFont="1" applyFill="1" applyBorder="1" applyAlignment="1">
      <alignment/>
    </xf>
    <xf numFmtId="0" fontId="6" fillId="0" borderId="10" xfId="0" applyFont="1" applyBorder="1" applyAlignment="1">
      <alignment horizontal="center"/>
    </xf>
    <xf numFmtId="167" fontId="5" fillId="0" borderId="9" xfId="0" applyNumberFormat="1" applyFont="1" applyFill="1" applyBorder="1" applyAlignment="1">
      <alignment/>
    </xf>
    <xf numFmtId="165" fontId="5" fillId="0" borderId="9" xfId="0" applyNumberFormat="1" applyFont="1" applyFill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50"/>
  <sheetViews>
    <sheetView tabSelected="1" workbookViewId="0" topLeftCell="A1">
      <selection activeCell="A40" sqref="A40"/>
    </sheetView>
  </sheetViews>
  <sheetFormatPr defaultColWidth="9.140625" defaultRowHeight="10.5" customHeight="1"/>
  <cols>
    <col min="1" max="1" width="20.7109375" style="2" customWidth="1"/>
    <col min="2" max="12" width="7.28125" style="2" customWidth="1"/>
    <col min="13" max="13" width="7.7109375" style="2" bestFit="1" customWidth="1"/>
    <col min="14" max="17" width="7.28125" style="2" customWidth="1"/>
    <col min="18" max="16384" width="9.140625" style="2" customWidth="1"/>
  </cols>
  <sheetData>
    <row r="1" ht="10.5" customHeight="1">
      <c r="A1" s="19" t="s">
        <v>39</v>
      </c>
    </row>
    <row r="2" ht="10.5" customHeight="1">
      <c r="A2" s="19"/>
    </row>
    <row r="3" ht="10.5" customHeight="1">
      <c r="A3" s="1" t="s">
        <v>7</v>
      </c>
    </row>
    <row r="4" ht="10.5" customHeight="1">
      <c r="A4" s="19"/>
    </row>
    <row r="5" spans="1:18" ht="10.5" customHeight="1">
      <c r="A5"/>
      <c r="B5" s="45" t="s">
        <v>1</v>
      </c>
      <c r="C5" s="46"/>
      <c r="D5" s="45" t="s">
        <v>2</v>
      </c>
      <c r="E5" s="46"/>
      <c r="F5" s="45" t="s">
        <v>3</v>
      </c>
      <c r="G5" s="46"/>
      <c r="H5" s="45" t="s">
        <v>4</v>
      </c>
      <c r="I5" s="46"/>
      <c r="J5" s="45" t="s">
        <v>5</v>
      </c>
      <c r="K5" s="46"/>
      <c r="L5" s="118" t="s">
        <v>6</v>
      </c>
      <c r="M5" s="119"/>
      <c r="N5" s="105" t="s">
        <v>45</v>
      </c>
      <c r="O5" s="105"/>
      <c r="P5" s="45" t="s">
        <v>7</v>
      </c>
      <c r="Q5" s="46"/>
      <c r="R5" s="41" t="s">
        <v>8</v>
      </c>
    </row>
    <row r="6" spans="1:18" ht="10.5" customHeight="1">
      <c r="A6" s="6" t="s">
        <v>61</v>
      </c>
      <c r="B6" s="42" t="s">
        <v>9</v>
      </c>
      <c r="C6" s="43" t="s">
        <v>10</v>
      </c>
      <c r="D6" s="42" t="s">
        <v>9</v>
      </c>
      <c r="E6" s="43" t="s">
        <v>10</v>
      </c>
      <c r="F6" s="42" t="s">
        <v>9</v>
      </c>
      <c r="G6" s="43" t="s">
        <v>10</v>
      </c>
      <c r="H6" s="42" t="s">
        <v>9</v>
      </c>
      <c r="I6" s="43" t="s">
        <v>10</v>
      </c>
      <c r="J6" s="42" t="s">
        <v>9</v>
      </c>
      <c r="K6" s="43" t="s">
        <v>10</v>
      </c>
      <c r="L6" s="42" t="s">
        <v>9</v>
      </c>
      <c r="M6" s="43" t="s">
        <v>10</v>
      </c>
      <c r="N6" s="42" t="s">
        <v>9</v>
      </c>
      <c r="O6" s="43" t="s">
        <v>10</v>
      </c>
      <c r="P6" s="42" t="s">
        <v>9</v>
      </c>
      <c r="Q6" s="43" t="s">
        <v>10</v>
      </c>
      <c r="R6" s="44" t="s">
        <v>7</v>
      </c>
    </row>
    <row r="7" spans="1:18" ht="10.5" customHeight="1">
      <c r="A7"/>
      <c r="B7" s="3"/>
      <c r="C7" s="4"/>
      <c r="D7" s="3"/>
      <c r="E7" s="4"/>
      <c r="F7" s="3"/>
      <c r="G7" s="4"/>
      <c r="H7" s="3"/>
      <c r="I7" s="4"/>
      <c r="J7" s="3"/>
      <c r="K7" s="4"/>
      <c r="L7" s="3"/>
      <c r="M7" s="4"/>
      <c r="N7" s="106"/>
      <c r="O7" s="106"/>
      <c r="P7" s="3"/>
      <c r="Q7" s="4"/>
      <c r="R7" s="8"/>
    </row>
    <row r="8" spans="1:18" ht="10.5" customHeight="1">
      <c r="A8" s="6" t="s">
        <v>42</v>
      </c>
      <c r="B8" s="63">
        <f>SUM(SOC!B6,PY!B6,PSC!B6,PHL!B6,MU!B6,'HY'!B6,FLT!B6,'EH'!B6,'ED'!B6,'CM'!B6,ART!B6,)</f>
        <v>30</v>
      </c>
      <c r="C8" s="64">
        <f>SUM(SOC!C6,PY!C6,PSC!C6,PHL!C6,MU!C6,'HY'!C6,FLT!C6,'EH'!C6,'ED'!C6,'CM'!C6,ART!C6,)</f>
        <v>99</v>
      </c>
      <c r="D8" s="63">
        <f>SUM(SOC!D6,PY!D6,PSC!D6,PHL!D6,MU!D6,'HY'!D6,FLT!D6,'EH'!D6,'ED'!D6,'CM'!D6,ART!D6,)</f>
        <v>2</v>
      </c>
      <c r="E8" s="64">
        <f>SUM(SOC!E6,PY!E6,PSC!E6,PHL!E6,MU!E6,'HY'!E6,FLT!E6,'EH'!E6,'ED'!E6,'CM'!E6,ART!E6,)</f>
        <v>17</v>
      </c>
      <c r="F8" s="63">
        <f>SUM(SOC!F6,PY!F6,PSC!F6,PHL!F6,MU!F6,'HY'!F6,FLT!F6,'EH'!F6,'ED'!F6,'CM'!F6,ART!F6,)</f>
        <v>1</v>
      </c>
      <c r="G8" s="64">
        <f>SUM(SOC!G6,PY!G6,PSC!G6,PHL!G6,MU!G6,'HY'!G6,FLT!G6,'EH'!G6,'ED'!G6,'CM'!G6,ART!G6,)</f>
        <v>3</v>
      </c>
      <c r="H8" s="63">
        <f>SUM(SOC!H6,PY!H6,PSC!H6,PHL!H6,MU!H6,'HY'!H6,FLT!H6,'EH'!H6,'ED'!H6,'CM'!H6,ART!H6,)</f>
        <v>0</v>
      </c>
      <c r="I8" s="64">
        <f>SUM(SOC!I6,PY!I6,PSC!I6,PHL!I6,MU!I6,'HY'!I6,FLT!I6,'EH'!I6,'ED'!I6,'CM'!I6,ART!I6,)</f>
        <v>0</v>
      </c>
      <c r="J8" s="63">
        <f>SUM(SOC!J6,PY!J6,PSC!J6,PHL!J6,MU!J6,'HY'!J6,FLT!J6,'EH'!J6,'ED'!J6,'CM'!J6,ART!J6,)</f>
        <v>2</v>
      </c>
      <c r="K8" s="64">
        <f>SUM(SOC!K6,PY!K6,PSC!K6,PHL!K6,MU!K6,'HY'!K6,FLT!K6,'EH'!K6,'ED'!K6,'CM'!K6,ART!K6,)</f>
        <v>2</v>
      </c>
      <c r="L8" s="63">
        <f>SUM(SOC!L6,PY!L6,PSC!L6,PHL!L6,MU!L6,'HY'!L6,FLT!L6,'EH'!L6,'ED'!L6,'CM'!L6,ART!L6,)</f>
        <v>3</v>
      </c>
      <c r="M8" s="64">
        <f>SUM(SOC!M6,PY!M6,PSC!M6,PHL!M6,MU!M6,'HY'!M6,FLT!M6,'EH'!M6,'ED'!M6,'CM'!M6,ART!M6,)</f>
        <v>2</v>
      </c>
      <c r="N8" s="65">
        <f>SUM(FLT!N6,ART!N6,PHL!N6,PSC!N6)</f>
        <v>0</v>
      </c>
      <c r="O8" s="65">
        <f>SUM(FLT!O6,ART!O6,PHL!O6,PSC!O6)</f>
        <v>0</v>
      </c>
      <c r="P8" s="63">
        <f>SUM(SOC!P6,PY!P6,PSC!P6,PHL!P6,MU!P6,'HY'!P6,FLT!P6,'EH'!P6,'ED'!P6,'CM'!P6,ART!P6,)</f>
        <v>38</v>
      </c>
      <c r="Q8" s="64">
        <f>SUM(SOC!Q6,PY!Q6,PSC!Q6,PHL!Q6,MU!Q6,'HY'!Q6,FLT!Q6,'EH'!Q6,'ED'!Q6,'CM'!Q6,ART!Q6,)</f>
        <v>123</v>
      </c>
      <c r="R8" s="66">
        <f>SUM(SOC!R6,PY!R6,PSC!R6,PHL!R6,MU!R6,'HY'!R6,FLT!R6,'EH'!R6,'ED'!R6,'CM'!R6,ART!R6,)</f>
        <v>161</v>
      </c>
    </row>
    <row r="9" spans="1:18" ht="10.5" customHeight="1">
      <c r="A9" s="6" t="s">
        <v>44</v>
      </c>
      <c r="B9" s="63">
        <f>SUM(SOC!B7,PY!B7,PSC!B7,PHL!B7,MU!B7,'HY'!B7,FLT!B7,'EH'!B7,'ED'!B7,'CM'!B7,ART!B7,)</f>
        <v>40</v>
      </c>
      <c r="C9" s="64">
        <f>SUM(SOC!C7,PY!C7,PSC!C7,PHL!C7,MU!C7,'HY'!C7,FLT!C7,'EH'!C7,'ED'!C7,'CM'!C7,ART!C7,)</f>
        <v>89</v>
      </c>
      <c r="D9" s="63">
        <f>SUM(SOC!D7,PY!D7,PSC!D7,PHL!D7,MU!D7,'HY'!D7,FLT!D7,'EH'!D7,'ED'!D7,'CM'!D7,ART!D7,)</f>
        <v>1</v>
      </c>
      <c r="E9" s="64">
        <f>SUM(SOC!E7,PY!E7,PSC!E7,PHL!E7,MU!E7,'HY'!E7,FLT!E7,'EH'!E7,'ED'!E7,'CM'!E7,ART!E7,)</f>
        <v>15</v>
      </c>
      <c r="F9" s="63">
        <f>SUM(SOC!F7,PY!F7,PSC!F7,PHL!F7,MU!F7,'HY'!F7,FLT!F7,'EH'!F7,'ED'!F7,'CM'!F7,ART!F7,)</f>
        <v>0</v>
      </c>
      <c r="G9" s="64">
        <f>SUM(SOC!G7,PY!G7,PSC!G7,PHL!G7,MU!G7,'HY'!G7,FLT!G7,'EH'!G7,'ED'!G7,'CM'!G7,ART!G7,)</f>
        <v>5</v>
      </c>
      <c r="H9" s="63">
        <f>SUM(SOC!H7,PY!H7,PSC!H7,PHL!H7,MU!H7,'HY'!H7,FLT!H7,'EH'!H7,'ED'!H7,'CM'!H7,ART!H7,)</f>
        <v>1</v>
      </c>
      <c r="I9" s="64">
        <f>SUM(SOC!I7,PY!I7,PSC!I7,PHL!I7,MU!I7,'HY'!I7,FLT!I7,'EH'!I7,'ED'!I7,'CM'!I7,ART!I7,)</f>
        <v>1</v>
      </c>
      <c r="J9" s="63">
        <f>SUM(SOC!J7,PY!J7,PSC!J7,PHL!J7,MU!J7,'HY'!J7,FLT!J7,'EH'!J7,'ED'!J7,'CM'!J7,ART!J7,)</f>
        <v>1</v>
      </c>
      <c r="K9" s="64">
        <f>SUM(SOC!K7,PY!K7,PSC!K7,PHL!K7,MU!K7,'HY'!K7,FLT!K7,'EH'!K7,'ED'!K7,'CM'!K7,ART!K7,)</f>
        <v>2</v>
      </c>
      <c r="L9" s="63">
        <f>SUM(SOC!L7,PY!L7,PSC!L7,PHL!L7,MU!L7,'HY'!L7,FLT!L7,'EH'!L7,'ED'!L7,'CM'!L7,ART!L7,)</f>
        <v>2</v>
      </c>
      <c r="M9" s="64">
        <f>SUM(SOC!M7,PY!M7,PSC!M7,PHL!M7,MU!M7,'HY'!M7,FLT!M7,'EH'!M7,'ED'!M7,'CM'!M7,ART!M7,)</f>
        <v>4</v>
      </c>
      <c r="N9" s="65">
        <f>SUM(FLT!N7,ART!N7,PHL!N7,PSC!N7)</f>
        <v>0</v>
      </c>
      <c r="O9" s="65">
        <f>SUM(FLT!O7,ART!O7,PHL!O7,PSC!O7)</f>
        <v>0</v>
      </c>
      <c r="P9" s="63">
        <f>SUM(SOC!P7,PY!P7,PSC!P7,PHL!P7,MU!P7,'HY'!P7,FLT!P7,'EH'!P7,'ED'!P7,'CM'!P7,ART!P7,)</f>
        <v>45</v>
      </c>
      <c r="Q9" s="64">
        <f>SUM(SOC!Q7,PY!Q7,PSC!Q7,PHL!Q7,MU!Q7,'HY'!Q7,FLT!Q7,'EH'!Q7,'ED'!Q7,'CM'!Q7,ART!Q7,)</f>
        <v>116</v>
      </c>
      <c r="R9" s="66">
        <f>SUM(SOC!R7,PY!R7,PSC!R7,PHL!R7,MU!R7,'HY'!R7,FLT!R7,'EH'!R7,'ED'!R7,'CM'!R7,ART!R7,)</f>
        <v>161</v>
      </c>
    </row>
    <row r="10" spans="1:18" ht="10.5" customHeight="1">
      <c r="A10" s="6" t="s">
        <v>48</v>
      </c>
      <c r="B10" s="63">
        <f>SUM(SOC!B8,PY!B8,PSC!B8,PHL!B8,MU!B8,'HY'!B8,FLT!B8,'EH'!B8,'ED'!B8,'CM'!B8,ART!B8,)</f>
        <v>37</v>
      </c>
      <c r="C10" s="64">
        <f>SUM(SOC!C8,PY!C8,PSC!C8,PHL!C8,MU!C8,'HY'!C8,FLT!C8,'EH'!C8,'ED'!C8,'CM'!C8,ART!C8,)</f>
        <v>84</v>
      </c>
      <c r="D10" s="63">
        <f>SUM(SOC!D8,PY!D8,PSC!D8,PHL!D8,MU!D8,'HY'!D8,FLT!D8,'EH'!D8,'ED'!D8,'CM'!D8,ART!D8,)</f>
        <v>3</v>
      </c>
      <c r="E10" s="64">
        <f>SUM(SOC!E8,PY!E8,PSC!E8,PHL!E8,MU!E8,'HY'!E8,FLT!E8,'EH'!E8,'ED'!E8,'CM'!E8,ART!E8,)</f>
        <v>20</v>
      </c>
      <c r="F10" s="63">
        <f>SUM(SOC!F8,PY!F8,PSC!F8,PHL!F8,MU!F8,'HY'!F8,FLT!F8,'EH'!F8,'ED'!F8,'CM'!F8,ART!F8,)</f>
        <v>1</v>
      </c>
      <c r="G10" s="64">
        <f>SUM(SOC!G8,PY!G8,PSC!G8,PHL!G8,MU!G8,'HY'!G8,FLT!G8,'EH'!G8,'ED'!G8,'CM'!G8,ART!G8,)</f>
        <v>5</v>
      </c>
      <c r="H10" s="63">
        <f>SUM(SOC!H8,PY!H8,PSC!H8,PHL!H8,MU!H8,'HY'!H8,FLT!H8,'EH'!H8,'ED'!H8,'CM'!H8,ART!H8,)</f>
        <v>1</v>
      </c>
      <c r="I10" s="64">
        <f>SUM(SOC!I8,PY!I8,PSC!I8,PHL!I8,MU!I8,'HY'!I8,FLT!I8,'EH'!I8,'ED'!I8,'CM'!I8,ART!I8,)</f>
        <v>2</v>
      </c>
      <c r="J10" s="63">
        <f>SUM(SOC!J8,PY!J8,PSC!J8,PHL!J8,MU!J8,'HY'!J8,FLT!J8,'EH'!J8,'ED'!J8,'CM'!J8,ART!J8,)</f>
        <v>1</v>
      </c>
      <c r="K10" s="64">
        <f>SUM(SOC!K8,PY!K8,PSC!K8,PHL!K8,MU!K8,'HY'!K8,FLT!K8,'EH'!K8,'ED'!K8,'CM'!K8,ART!K8,)</f>
        <v>1</v>
      </c>
      <c r="L10" s="63">
        <f>SUM(SOC!L8,PY!L8,PSC!L8,PHL!L8,MU!L8,'HY'!L8,FLT!L8,'EH'!L8,'ED'!L8,'CM'!L8,ART!L8,)</f>
        <v>0</v>
      </c>
      <c r="M10" s="64">
        <f>SUM(SOC!M8,PY!M8,PSC!M8,PHL!M8,MU!M8,'HY'!M8,FLT!M8,'EH'!M8,'ED'!M8,'CM'!M8,ART!M8,)</f>
        <v>1</v>
      </c>
      <c r="N10" s="65">
        <f>SUM(FLT!N8,ART!N8,PHL!N8,PSC!N8)</f>
        <v>0</v>
      </c>
      <c r="O10" s="65">
        <f>SUM(FLT!O8,ART!O8,PHL!O8,PSC!O8)</f>
        <v>0</v>
      </c>
      <c r="P10" s="63">
        <f>SUM(SOC!P8,PY!P8,PSC!P8,PHL!P8,MU!P8,'HY'!P8,FLT!P8,'EH'!P8,'ED'!P8,'CM'!P8,ART!P8,)</f>
        <v>43</v>
      </c>
      <c r="Q10" s="64">
        <f>SUM(SOC!Q8,PY!Q8,PSC!Q8,PHL!Q8,MU!Q8,'HY'!Q8,FLT!Q8,'EH'!Q8,'ED'!Q8,'CM'!Q8,ART!Q8,)</f>
        <v>113</v>
      </c>
      <c r="R10" s="66">
        <f>SUM(SOC!R8,PY!R8,PSC!R8,PHL!R8,MU!R8,'HY'!R8,FLT!R8,'EH'!R8,'ED'!R8,'CM'!R8,ART!R8,)</f>
        <v>156</v>
      </c>
    </row>
    <row r="11" spans="1:18" ht="10.5" customHeight="1">
      <c r="A11" s="6" t="s">
        <v>50</v>
      </c>
      <c r="B11" s="63">
        <f>SUM(SOC!B9,PY!B9,PSC!B9,PHL!B9,MU!B9,'HY'!B9,FLT!B9,'EH'!B9,'ED'!B9,'CM'!B9,ART!B9,)</f>
        <v>49</v>
      </c>
      <c r="C11" s="64">
        <f>SUM(SOC!C9,PY!C9,PSC!C9,PHL!C9,MU!C9,'HY'!C9,FLT!C9,'EH'!C9,'ED'!C9,'CM'!C9,ART!C9,)</f>
        <v>102</v>
      </c>
      <c r="D11" s="63">
        <f>SUM(SOC!D9,PY!D9,PSC!D9,PHL!D9,MU!D9,'HY'!D9,FLT!D9,'EH'!D9,'ED'!D9,'CM'!D9,ART!D9,)</f>
        <v>7</v>
      </c>
      <c r="E11" s="64">
        <f>SUM(SOC!E9,PY!E9,PSC!E9,PHL!E9,MU!E9,'HY'!E9,FLT!E9,'EH'!E9,'ED'!E9,'CM'!E9,ART!E9,)</f>
        <v>14</v>
      </c>
      <c r="F11" s="63">
        <f>SUM(SOC!F9,PY!F9,PSC!F9,PHL!F9,MU!F9,'HY'!F9,FLT!F9,'EH'!F9,'ED'!F9,'CM'!F9,ART!F9,)</f>
        <v>1</v>
      </c>
      <c r="G11" s="64">
        <f>SUM(SOC!G9,PY!G9,PSC!G9,PHL!G9,MU!G9,'HY'!G9,FLT!G9,'EH'!G9,'ED'!G9,'CM'!G9,ART!G9,)</f>
        <v>6</v>
      </c>
      <c r="H11" s="63">
        <f>SUM(SOC!H9,PY!H9,PSC!H9,PHL!H9,MU!H9,'HY'!H9,FLT!H9,'EH'!H9,'ED'!H9,'CM'!H9,ART!H9,)</f>
        <v>1</v>
      </c>
      <c r="I11" s="64">
        <f>SUM(SOC!I9,PY!I9,PSC!I9,PHL!I9,MU!I9,'HY'!I9,FLT!I9,'EH'!I9,'ED'!I9,'CM'!I9,ART!I9,)</f>
        <v>6</v>
      </c>
      <c r="J11" s="63">
        <f>SUM(SOC!J9,PY!J9,PSC!J9,PHL!J9,MU!J9,'HY'!J9,FLT!J9,'EH'!J9,'ED'!J9,'CM'!J9,ART!J9,)</f>
        <v>1</v>
      </c>
      <c r="K11" s="64">
        <f>SUM(SOC!K9,PY!K9,PSC!K9,PHL!K9,MU!K9,'HY'!K9,FLT!K9,'EH'!K9,'ED'!K9,'CM'!K9,ART!K9,)</f>
        <v>0</v>
      </c>
      <c r="L11" s="63">
        <f>SUM(SOC!L9,PY!L9,PSC!L9,PHL!L9,MU!L9,'HY'!L9,FLT!L9,'EH'!L9,'ED'!L9,'CM'!L9,ART!L9,)</f>
        <v>2</v>
      </c>
      <c r="M11" s="64">
        <f>SUM(SOC!M9,PY!M9,PSC!M9,PHL!M9,MU!M9,'HY'!M9,FLT!M9,'EH'!M9,'ED'!M9,'CM'!M9,ART!M9,)</f>
        <v>1</v>
      </c>
      <c r="N11" s="65">
        <f>SUM(FLT!N9,ART!N9,PHL!N9,PSC!N9)</f>
        <v>0</v>
      </c>
      <c r="O11" s="65">
        <f>SUM(FLT!O9,ART!O9,PHL!O9,PSC!O9)</f>
        <v>1</v>
      </c>
      <c r="P11" s="63">
        <f>SUM(SOC!P9,PY!P9,PSC!P9,PHL!P9,MU!P9,'HY'!P9,FLT!P9,'EH'!P9,'ED'!P9,'CM'!P9,ART!P9,)</f>
        <v>61</v>
      </c>
      <c r="Q11" s="64">
        <f>SUM(SOC!Q9,PY!Q9,PSC!Q9,PHL!Q9,MU!Q9,'HY'!Q9,FLT!Q9,'EH'!Q9,'ED'!Q9,'CM'!Q9,ART!Q9,)</f>
        <v>130</v>
      </c>
      <c r="R11" s="66">
        <f>SUM(SOC!R9,PY!R9,PSC!R9,PHL!R9,MU!R9,'HY'!R9,FLT!R9,'EH'!R9,'ED'!R9,'CM'!R9,ART!R9,)</f>
        <v>191</v>
      </c>
    </row>
    <row r="12" spans="1:18" ht="10.5" customHeight="1">
      <c r="A12" s="15" t="s">
        <v>57</v>
      </c>
      <c r="B12" s="63">
        <f>SUM(SOC!B10,PY!B10,PSC!B10,PHL!B10,MU!B10,'HY'!B10,FLT!B10,'EH'!B10,'ED'!B10,'CM'!B10,ART!B10,)</f>
        <v>45</v>
      </c>
      <c r="C12" s="64">
        <f>SUM(SOC!C10,PY!C10,PSC!C10,PHL!C10,MU!C10,'HY'!C10,FLT!C10,'EH'!C10,'ED'!C10,'CM'!C10,ART!C10,)</f>
        <v>106</v>
      </c>
      <c r="D12" s="63">
        <f>SUM(SOC!D10,PY!D10,PSC!D10,PHL!D10,MU!D10,'HY'!D10,FLT!D10,'EH'!D10,'ED'!D10,'CM'!D10,ART!D10,)</f>
        <v>2</v>
      </c>
      <c r="E12" s="64">
        <f>SUM(SOC!E10,PY!E10,PSC!E10,PHL!E10,MU!E10,'HY'!E10,FLT!E10,'EH'!E10,'ED'!E10,'CM'!E10,ART!E10,)</f>
        <v>11</v>
      </c>
      <c r="F12" s="63">
        <f>SUM(SOC!F10,PY!F10,PSC!F10,PHL!F10,MU!F10,'HY'!F10,FLT!F10,'EH'!F10,'ED'!F10,'CM'!F10,ART!F10,)</f>
        <v>0</v>
      </c>
      <c r="G12" s="64">
        <f>SUM(SOC!G10,PY!G10,PSC!G10,PHL!G10,MU!G10,'HY'!G10,FLT!G10,'EH'!G10,'ED'!G10,'CM'!G10,ART!G10,)</f>
        <v>4</v>
      </c>
      <c r="H12" s="63">
        <f>SUM(SOC!H10,PY!H10,PSC!H10,PHL!H10,MU!H10,'HY'!H10,FLT!H10,'EH'!H10,'ED'!H10,'CM'!H10,ART!H10,)</f>
        <v>2</v>
      </c>
      <c r="I12" s="64">
        <f>SUM(SOC!I10,PY!I10,PSC!I10,PHL!I10,MU!I10,'HY'!I10,FLT!I10,'EH'!I10,'ED'!I10,'CM'!I10,ART!I10,)</f>
        <v>2</v>
      </c>
      <c r="J12" s="63">
        <f>SUM(SOC!J10,PY!J10,PSC!J10,PHL!J10,MU!J10,'HY'!J10,FLT!J10,'EH'!J10,'ED'!J10,'CM'!J10,ART!J10,)</f>
        <v>0</v>
      </c>
      <c r="K12" s="64">
        <f>SUM(SOC!K10,PY!K10,PSC!K10,PHL!K10,MU!K10,'HY'!K10,FLT!K10,'EH'!K10,'ED'!K10,'CM'!K10,ART!K10,)</f>
        <v>1</v>
      </c>
      <c r="L12" s="63">
        <f>SUM(SOC!L10,PY!L10,PSC!L10,PHL!L10,MU!L10,'HY'!L10,FLT!L10,'EH'!L10,'ED'!L10,'CM'!L10,ART!L10,)</f>
        <v>5</v>
      </c>
      <c r="M12" s="64">
        <f>SUM(SOC!M10,PY!M10,PSC!M10,PHL!M10,MU!M10,'HY'!M10,FLT!M10,'EH'!M10,'ED'!M10,'CM'!M10,ART!M10,)</f>
        <v>6</v>
      </c>
      <c r="N12" s="65">
        <f>SUM(FLT!N10,ART!N10,PHL!N10,PSC!N10,'CM'!N10)</f>
        <v>2</v>
      </c>
      <c r="O12" s="65">
        <f>SUM(FLT!O10,ART!O10,PHL!O10,PSC!O10,'CM'!O10)</f>
        <v>1</v>
      </c>
      <c r="P12" s="63">
        <f>SUM(SOC!P10,PY!P10,PSC!P10,PHL!P10,MU!P10,'HY'!P10,FLT!P10,'EH'!P10,'ED'!P10,'CM'!P10,ART!P10,)</f>
        <v>56</v>
      </c>
      <c r="Q12" s="64">
        <f>SUM(SOC!Q10,PY!Q10,PSC!Q10,PHL!Q10,MU!Q10,'HY'!Q10,FLT!Q10,'EH'!Q10,'ED'!Q10,'CM'!Q10,ART!Q10,)</f>
        <v>131</v>
      </c>
      <c r="R12" s="66">
        <f>SUM(SOC!R10,PY!R10,PSC!R10,PHL!R10,MU!R10,'HY'!R10,FLT!R10,'EH'!R10,'ED'!R10,'CM'!R10,ART!R10,)</f>
        <v>187</v>
      </c>
    </row>
    <row r="13" spans="2:18" ht="10.5" customHeight="1">
      <c r="B13" s="9"/>
      <c r="C13" s="10"/>
      <c r="D13" s="9"/>
      <c r="E13" s="10"/>
      <c r="F13" s="9"/>
      <c r="G13" s="10"/>
      <c r="H13" s="9"/>
      <c r="I13" s="20"/>
      <c r="J13" s="9"/>
      <c r="K13" s="10"/>
      <c r="L13" s="9"/>
      <c r="M13" s="10"/>
      <c r="N13" s="20"/>
      <c r="O13" s="20"/>
      <c r="P13" s="9"/>
      <c r="Q13" s="10"/>
      <c r="R13" s="11"/>
    </row>
    <row r="14" spans="2:18" ht="10.5" customHeight="1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ht="10.5" customHeight="1">
      <c r="A15"/>
      <c r="B15" s="45" t="s">
        <v>1</v>
      </c>
      <c r="C15" s="46"/>
      <c r="D15" s="45" t="s">
        <v>2</v>
      </c>
      <c r="E15" s="46"/>
      <c r="F15" s="45" t="s">
        <v>3</v>
      </c>
      <c r="G15" s="46"/>
      <c r="H15" s="45" t="s">
        <v>4</v>
      </c>
      <c r="I15" s="46"/>
      <c r="J15" s="45" t="s">
        <v>5</v>
      </c>
      <c r="K15" s="46"/>
      <c r="L15" s="118" t="s">
        <v>6</v>
      </c>
      <c r="M15" s="119"/>
      <c r="N15" s="105" t="s">
        <v>45</v>
      </c>
      <c r="O15" s="105"/>
      <c r="P15" s="45" t="s">
        <v>7</v>
      </c>
      <c r="Q15" s="46"/>
      <c r="R15" s="41" t="s">
        <v>8</v>
      </c>
    </row>
    <row r="16" spans="1:18" ht="10.5" customHeight="1">
      <c r="A16" s="6" t="s">
        <v>62</v>
      </c>
      <c r="B16" s="42" t="s">
        <v>9</v>
      </c>
      <c r="C16" s="43" t="s">
        <v>10</v>
      </c>
      <c r="D16" s="42" t="s">
        <v>9</v>
      </c>
      <c r="E16" s="43" t="s">
        <v>10</v>
      </c>
      <c r="F16" s="42" t="s">
        <v>9</v>
      </c>
      <c r="G16" s="43" t="s">
        <v>10</v>
      </c>
      <c r="H16" s="42" t="s">
        <v>9</v>
      </c>
      <c r="I16" s="43" t="s">
        <v>10</v>
      </c>
      <c r="J16" s="42" t="s">
        <v>9</v>
      </c>
      <c r="K16" s="43" t="s">
        <v>10</v>
      </c>
      <c r="L16" s="42" t="s">
        <v>9</v>
      </c>
      <c r="M16" s="43" t="s">
        <v>10</v>
      </c>
      <c r="N16" s="42" t="s">
        <v>9</v>
      </c>
      <c r="O16" s="43" t="s">
        <v>10</v>
      </c>
      <c r="P16" s="42" t="s">
        <v>9</v>
      </c>
      <c r="Q16" s="43" t="s">
        <v>10</v>
      </c>
      <c r="R16" s="44" t="s">
        <v>7</v>
      </c>
    </row>
    <row r="17" spans="1:18" ht="10.5" customHeight="1">
      <c r="A17"/>
      <c r="B17" s="3"/>
      <c r="C17" s="4"/>
      <c r="D17" s="3"/>
      <c r="E17" s="16"/>
      <c r="F17" s="3"/>
      <c r="G17" s="4"/>
      <c r="H17" s="3"/>
      <c r="I17" s="4"/>
      <c r="J17" s="3"/>
      <c r="K17" s="4"/>
      <c r="L17" s="3"/>
      <c r="M17" s="4"/>
      <c r="N17" s="106"/>
      <c r="O17" s="106"/>
      <c r="P17" s="3"/>
      <c r="Q17" s="4"/>
      <c r="R17" s="8"/>
    </row>
    <row r="18" spans="1:18" ht="10.5" customHeight="1">
      <c r="A18" s="6" t="s">
        <v>42</v>
      </c>
      <c r="B18" s="63">
        <f>SUM(PA!B6,PY!B16,'HY'!B16,'EH'!B16,)</f>
        <v>4</v>
      </c>
      <c r="C18" s="64">
        <f>SUM(PA!C6,PY!C16,'HY'!C16,'EH'!C16,)</f>
        <v>12</v>
      </c>
      <c r="D18" s="63">
        <f>SUM(PA!D6,PY!D16,'HY'!D16,'EH'!D16,)</f>
        <v>2</v>
      </c>
      <c r="E18" s="64">
        <f>SUM(PA!E6,PY!E16,'HY'!E16,'EH'!E16,)</f>
        <v>5</v>
      </c>
      <c r="F18" s="63">
        <f>SUM(PA!F6,PY!F16,'HY'!F16,'EH'!F16,)</f>
        <v>0</v>
      </c>
      <c r="G18" s="64">
        <f>SUM(PA!G6,PY!G16,'HY'!G16,'EH'!G16,)</f>
        <v>1</v>
      </c>
      <c r="H18" s="63">
        <f>SUM(PA!H6,PY!H16,'HY'!H16,'EH'!H16,)</f>
        <v>0</v>
      </c>
      <c r="I18" s="64">
        <f>SUM(PA!I6,PY!I16,'HY'!I16,'EH'!I16,)</f>
        <v>1</v>
      </c>
      <c r="J18" s="63">
        <f>SUM(PA!J6,PY!J16,'HY'!J16,'EH'!J16,)</f>
        <v>0</v>
      </c>
      <c r="K18" s="64">
        <f>SUM(PA!K6,PY!K16,'HY'!K16,'EH'!K16,)</f>
        <v>0</v>
      </c>
      <c r="L18" s="63">
        <f>SUM(PA!L6,PY!L16,'HY'!L16,'EH'!L16,)</f>
        <v>0</v>
      </c>
      <c r="M18" s="64">
        <f>SUM(PA!M6,PY!M16,'HY'!M16,'EH'!M16,)</f>
        <v>1</v>
      </c>
      <c r="N18" s="65">
        <v>0</v>
      </c>
      <c r="O18" s="65">
        <v>0</v>
      </c>
      <c r="P18" s="63">
        <f>SUM(PA!P6,PY!P16,'HY'!P16,'EH'!P16,)</f>
        <v>6</v>
      </c>
      <c r="Q18" s="64">
        <f>SUM(PA!Q6,PY!Q16,'HY'!Q16,'EH'!Q16,)</f>
        <v>20</v>
      </c>
      <c r="R18" s="66">
        <f>SUM(PA!R6,PY!R16,'HY'!R16,'EH'!R16,)</f>
        <v>26</v>
      </c>
    </row>
    <row r="19" spans="1:18" ht="10.5" customHeight="1">
      <c r="A19" s="6" t="s">
        <v>44</v>
      </c>
      <c r="B19" s="63">
        <f>SUM(PA!B7,PY!B17,'HY'!B17,'EH'!B17,)</f>
        <v>2</v>
      </c>
      <c r="C19" s="65">
        <f>SUM(PA!C7,PY!C17,'HY'!C17,'EH'!C17,)</f>
        <v>24</v>
      </c>
      <c r="D19" s="63">
        <f>SUM(PA!D7,PY!D17,'HY'!D17,'EH'!D17,)</f>
        <v>1</v>
      </c>
      <c r="E19" s="65">
        <f>SUM(PA!E7,PY!E17,'HY'!E17,'EH'!E17,)</f>
        <v>0</v>
      </c>
      <c r="F19" s="63">
        <f>SUM(PA!F7,PY!F17,'HY'!F17,'EH'!F17,)</f>
        <v>0</v>
      </c>
      <c r="G19" s="65">
        <f>SUM(PA!G7,PY!G17,'HY'!G17,'EH'!G17,)</f>
        <v>1</v>
      </c>
      <c r="H19" s="63">
        <f>SUM(PA!H7,PY!H17,'HY'!H17,'EH'!H17,)</f>
        <v>0</v>
      </c>
      <c r="I19" s="65">
        <f>SUM(PA!I7,PY!I17,'HY'!I17,'EH'!I17,)</f>
        <v>0</v>
      </c>
      <c r="J19" s="63">
        <f>SUM(PA!J7,PY!J17,'HY'!J17,'EH'!J17,)</f>
        <v>0</v>
      </c>
      <c r="K19" s="65">
        <f>SUM(PA!K7,PY!K17,'HY'!K17,'EH'!K17,)</f>
        <v>1</v>
      </c>
      <c r="L19" s="63">
        <f>SUM(PA!L7,PY!L17,'HY'!L17,'EH'!L17,)</f>
        <v>0</v>
      </c>
      <c r="M19" s="64">
        <f>SUM(PA!M7,PY!M17,'HY'!M17,'EH'!M17,)</f>
        <v>0</v>
      </c>
      <c r="N19" s="65">
        <v>0</v>
      </c>
      <c r="O19" s="65">
        <v>0</v>
      </c>
      <c r="P19" s="63">
        <f>SUM(PA!P7,PY!P17,'HY'!P17,'EH'!P17,)</f>
        <v>3</v>
      </c>
      <c r="Q19" s="64">
        <f>SUM(PA!Q7,PY!Q17,'HY'!Q17,'EH'!Q17,)</f>
        <v>26</v>
      </c>
      <c r="R19" s="66">
        <f>SUM(PA!R7,PY!R17,'HY'!R17,'EH'!R17,)</f>
        <v>29</v>
      </c>
    </row>
    <row r="20" spans="1:18" ht="10.5" customHeight="1">
      <c r="A20" s="6" t="s">
        <v>48</v>
      </c>
      <c r="B20" s="63">
        <f>SUM(PA!B8,PY!B18,'HY'!B18,'EH'!B18,)</f>
        <v>7</v>
      </c>
      <c r="C20" s="65">
        <f>SUM(PA!C8,PY!C18,'HY'!C18,'EH'!C18,)</f>
        <v>17</v>
      </c>
      <c r="D20" s="63">
        <f>SUM(PA!D8,PY!D18,'HY'!D18,'EH'!D18,)</f>
        <v>0</v>
      </c>
      <c r="E20" s="65">
        <f>SUM(PA!E8,PY!E18,'HY'!E18,'EH'!E18,)</f>
        <v>2</v>
      </c>
      <c r="F20" s="63">
        <f>SUM(PA!F8,PY!F18,'HY'!F18,'EH'!F18,)</f>
        <v>0</v>
      </c>
      <c r="G20" s="65">
        <f>SUM(PA!G8,PY!G18,'HY'!G18,'EH'!G18,)</f>
        <v>0</v>
      </c>
      <c r="H20" s="63">
        <f>SUM(PA!H8,PY!H18,'HY'!H18,'EH'!H18,)</f>
        <v>0</v>
      </c>
      <c r="I20" s="65">
        <f>SUM(PA!I8,PY!I18,'HY'!I18,'EH'!I18,)</f>
        <v>0</v>
      </c>
      <c r="J20" s="63">
        <f>SUM(PA!J8,PY!J18,'HY'!J18,'EH'!J18,)</f>
        <v>0</v>
      </c>
      <c r="K20" s="65">
        <f>SUM(PA!K8,PY!K18,'HY'!K18,'EH'!K18,)</f>
        <v>1</v>
      </c>
      <c r="L20" s="63">
        <f>SUM(PA!L8,PY!L18,'HY'!L18,'EH'!L18,)</f>
        <v>0</v>
      </c>
      <c r="M20" s="64">
        <f>SUM(PA!M8,PY!M18,'HY'!M18,'EH'!M18,)</f>
        <v>1</v>
      </c>
      <c r="N20" s="65">
        <v>0</v>
      </c>
      <c r="O20" s="65">
        <v>0</v>
      </c>
      <c r="P20" s="63">
        <f>SUM(PA!P8,PY!P18,'HY'!P18,'EH'!P18,)</f>
        <v>7</v>
      </c>
      <c r="Q20" s="64">
        <f>SUM(PA!Q8,PY!Q18,'HY'!Q18,'EH'!Q18,)</f>
        <v>21</v>
      </c>
      <c r="R20" s="66">
        <f>SUM(PA!R8,PY!R18,'HY'!R18,'EH'!R18,)</f>
        <v>28</v>
      </c>
    </row>
    <row r="21" spans="1:18" ht="10.5" customHeight="1">
      <c r="A21" s="6" t="s">
        <v>50</v>
      </c>
      <c r="B21" s="63">
        <f>SUM(PA!B9,PY!B19,'HY'!B19,'EH'!B19,)</f>
        <v>7</v>
      </c>
      <c r="C21" s="65">
        <f>SUM(PA!C9,PY!C19,'HY'!C19,'EH'!C19,)</f>
        <v>28</v>
      </c>
      <c r="D21" s="63">
        <f>SUM(PA!D9,PY!D19,'HY'!D19,'EH'!D19,)</f>
        <v>0</v>
      </c>
      <c r="E21" s="65">
        <f>SUM(PA!E9,PY!E19,'HY'!E19,'EH'!E19,)</f>
        <v>6</v>
      </c>
      <c r="F21" s="63">
        <f>SUM(PA!F9,PY!F19,'HY'!F19,'EH'!F19,)</f>
        <v>0</v>
      </c>
      <c r="G21" s="65">
        <f>SUM(PA!G9,PY!G19,'HY'!G19,'EH'!G19,)</f>
        <v>0</v>
      </c>
      <c r="H21" s="63">
        <f>SUM(PA!H9,PY!H19,'HY'!H19,'EH'!H19,)</f>
        <v>1</v>
      </c>
      <c r="I21" s="65">
        <f>SUM(PA!I9,PY!I19,'HY'!I19,'EH'!I19,)</f>
        <v>0</v>
      </c>
      <c r="J21" s="63">
        <f>SUM(PA!J9,PY!J19,'HY'!J19,'EH'!J19,)</f>
        <v>0</v>
      </c>
      <c r="K21" s="65">
        <f>SUM(PA!K9,PY!K19,'HY'!K19,'EH'!K19,)</f>
        <v>0</v>
      </c>
      <c r="L21" s="63">
        <f>SUM(PA!L9,PY!L19,'HY'!L19,'EH'!L19,)</f>
        <v>0</v>
      </c>
      <c r="M21" s="64">
        <f>SUM(PA!M9,PY!M19,'HY'!M19,'EH'!M19,)</f>
        <v>0</v>
      </c>
      <c r="N21" s="65">
        <v>0</v>
      </c>
      <c r="O21" s="65">
        <v>0</v>
      </c>
      <c r="P21" s="63">
        <f>SUM(PA!P9,PY!P19,'HY'!P19,'EH'!P19,)</f>
        <v>8</v>
      </c>
      <c r="Q21" s="64">
        <f>SUM(PA!Q9,PY!Q19,'HY'!Q19,'EH'!Q19,)</f>
        <v>34</v>
      </c>
      <c r="R21" s="66">
        <f>SUM(PA!R9,PY!R19,'HY'!R19,'EH'!R19,)</f>
        <v>42</v>
      </c>
    </row>
    <row r="22" spans="1:18" ht="10.5" customHeight="1">
      <c r="A22" s="15" t="s">
        <v>57</v>
      </c>
      <c r="B22" s="63">
        <f>SUM(PA!B10,PY!B20,'HY'!B20,'EH'!B20,)</f>
        <v>8</v>
      </c>
      <c r="C22" s="65">
        <f>SUM(PA!C10,PY!C20,'HY'!C20,'EH'!C20,)</f>
        <v>16</v>
      </c>
      <c r="D22" s="63">
        <f>SUM(PA!D10,PY!D20,'HY'!D20,'EH'!D20,)</f>
        <v>0</v>
      </c>
      <c r="E22" s="65">
        <f>SUM(PA!E10,PY!E20,'HY'!E20,'EH'!E20,)</f>
        <v>2</v>
      </c>
      <c r="F22" s="63">
        <f>SUM(PA!F10,PY!F20,'HY'!F20,'EH'!F20,)</f>
        <v>0</v>
      </c>
      <c r="G22" s="65">
        <f>SUM(PA!G10,PY!G20,'HY'!G20,'EH'!G20,)</f>
        <v>0</v>
      </c>
      <c r="H22" s="63">
        <f>SUM(PA!H10,PY!H20,'HY'!H20,'EH'!H20,)</f>
        <v>0</v>
      </c>
      <c r="I22" s="65">
        <f>SUM(PA!I10,PY!I20,'HY'!I20,'EH'!I20,)</f>
        <v>0</v>
      </c>
      <c r="J22" s="63">
        <f>SUM(PA!J10,PY!J20,'HY'!J20,'EH'!J20,)</f>
        <v>0</v>
      </c>
      <c r="K22" s="65">
        <f>SUM(PA!K10,PY!K20,'HY'!K20,'EH'!K20,)</f>
        <v>0</v>
      </c>
      <c r="L22" s="63">
        <f>SUM(PA!L10,PY!L20,'HY'!L20,'EH'!L20,)</f>
        <v>0</v>
      </c>
      <c r="M22" s="64">
        <f>SUM(PA!M10,PY!M20,'HY'!M20,'EH'!M20,)</f>
        <v>1</v>
      </c>
      <c r="N22" s="65">
        <v>0</v>
      </c>
      <c r="O22" s="65">
        <v>0</v>
      </c>
      <c r="P22" s="63">
        <f>SUM(PA!P10,PY!P20,'HY'!P20,'EH'!P20,)</f>
        <v>8</v>
      </c>
      <c r="Q22" s="64">
        <f>SUM(PA!Q10,PY!Q20,'HY'!Q20,'EH'!Q20,)</f>
        <v>19</v>
      </c>
      <c r="R22" s="66">
        <f>SUM(PA!R10,PY!R20,'HY'!R20,'EH'!R20,)</f>
        <v>27</v>
      </c>
    </row>
    <row r="23" spans="2:18" ht="10.5" customHeight="1">
      <c r="B23" s="9"/>
      <c r="C23" s="10"/>
      <c r="D23" s="9"/>
      <c r="E23" s="10"/>
      <c r="F23" s="9"/>
      <c r="G23" s="10"/>
      <c r="H23" s="9"/>
      <c r="I23" s="10"/>
      <c r="J23" s="9"/>
      <c r="K23" s="10"/>
      <c r="L23" s="9"/>
      <c r="M23" s="10"/>
      <c r="N23" s="20"/>
      <c r="O23" s="20"/>
      <c r="P23" s="9"/>
      <c r="Q23" s="10"/>
      <c r="R23" s="11"/>
    </row>
    <row r="24" ht="10.5" customHeight="1">
      <c r="A24"/>
    </row>
    <row r="25" ht="10.5" customHeight="1">
      <c r="A25" s="6" t="s">
        <v>13</v>
      </c>
    </row>
    <row r="26" spans="1:18" ht="10.5" customHeight="1">
      <c r="A26" s="6" t="s">
        <v>11</v>
      </c>
      <c r="B26" s="45" t="s">
        <v>1</v>
      </c>
      <c r="C26" s="46"/>
      <c r="D26" s="45" t="s">
        <v>2</v>
      </c>
      <c r="E26" s="46"/>
      <c r="F26" s="45" t="s">
        <v>3</v>
      </c>
      <c r="G26" s="46"/>
      <c r="H26" s="45" t="s">
        <v>4</v>
      </c>
      <c r="I26" s="46"/>
      <c r="J26" s="45" t="s">
        <v>5</v>
      </c>
      <c r="K26" s="46"/>
      <c r="L26" s="118" t="s">
        <v>6</v>
      </c>
      <c r="M26" s="119"/>
      <c r="N26" s="105" t="s">
        <v>45</v>
      </c>
      <c r="O26" s="105"/>
      <c r="P26" s="45" t="s">
        <v>7</v>
      </c>
      <c r="Q26" s="46"/>
      <c r="R26" s="41" t="s">
        <v>8</v>
      </c>
    </row>
    <row r="27" spans="1:18" ht="10.5" customHeight="1">
      <c r="A27" s="6" t="s">
        <v>12</v>
      </c>
      <c r="B27" s="42" t="s">
        <v>9</v>
      </c>
      <c r="C27" s="43" t="s">
        <v>10</v>
      </c>
      <c r="D27" s="42" t="s">
        <v>9</v>
      </c>
      <c r="E27" s="43" t="s">
        <v>10</v>
      </c>
      <c r="F27" s="42" t="s">
        <v>9</v>
      </c>
      <c r="G27" s="43" t="s">
        <v>10</v>
      </c>
      <c r="H27" s="42" t="s">
        <v>9</v>
      </c>
      <c r="I27" s="43" t="s">
        <v>10</v>
      </c>
      <c r="J27" s="42" t="s">
        <v>9</v>
      </c>
      <c r="K27" s="43" t="s">
        <v>10</v>
      </c>
      <c r="L27" s="42" t="s">
        <v>9</v>
      </c>
      <c r="M27" s="43" t="s">
        <v>10</v>
      </c>
      <c r="N27" s="42" t="s">
        <v>9</v>
      </c>
      <c r="O27" s="43" t="s">
        <v>10</v>
      </c>
      <c r="P27" s="42" t="s">
        <v>9</v>
      </c>
      <c r="Q27" s="43" t="s">
        <v>10</v>
      </c>
      <c r="R27" s="44" t="s">
        <v>7</v>
      </c>
    </row>
    <row r="28" spans="1:18" ht="10.5">
      <c r="A28" s="6"/>
      <c r="B28" s="21"/>
      <c r="C28" s="22"/>
      <c r="D28" s="21"/>
      <c r="E28" s="22"/>
      <c r="F28" s="21"/>
      <c r="G28" s="22"/>
      <c r="H28" s="21"/>
      <c r="I28" s="22"/>
      <c r="J28" s="12"/>
      <c r="K28" s="13"/>
      <c r="L28" s="21"/>
      <c r="M28" s="22"/>
      <c r="N28" s="107"/>
      <c r="O28" s="107"/>
      <c r="P28" s="21"/>
      <c r="Q28" s="22"/>
      <c r="R28" s="5"/>
    </row>
    <row r="29" spans="1:18" s="16" customFormat="1" ht="10.5" customHeight="1">
      <c r="A29" s="6" t="s">
        <v>42</v>
      </c>
      <c r="B29" s="67">
        <f>SUM('PEN&amp;UND'!B7,SOC!B17,PY!B27,PSC!B17,PHL!B17,MU!B17,'HY'!B27,FLT!B17,'EH'!B27,'ED'!B17,'CM'!B17,ART!B17,)</f>
        <v>245</v>
      </c>
      <c r="C29" s="89">
        <f>SUM('PEN&amp;UND'!C7,SOC!C17,PY!C27,PSC!C17,PHL!C17,MU!C17,'HY'!C27,FLT!C17,'EH'!C27,'ED'!C17,'CM'!C17,ART!C17,)</f>
        <v>503</v>
      </c>
      <c r="D29" s="67">
        <f>SUM('PEN&amp;UND'!D7,SOC!D17,PY!D27,PSC!D17,PHL!D17,MU!D17,'HY'!D27,FLT!D17,'EH'!D27,'ED'!D17,'CM'!D17,ART!D17,)</f>
        <v>29</v>
      </c>
      <c r="E29" s="89">
        <f>SUM('PEN&amp;UND'!E7,SOC!E17,PY!E27,PSC!E17,PHL!E17,MU!E17,'HY'!E27,FLT!E17,'EH'!E27,'ED'!E17,'CM'!E17,ART!E17,)</f>
        <v>110</v>
      </c>
      <c r="F29" s="67">
        <f>SUM('PEN&amp;UND'!F7,SOC!F17,PY!F27,PSC!F17,PHL!F17,MU!F17,'HY'!F27,FLT!F17,'EH'!F27,'ED'!F17,'CM'!F17,ART!F17,)</f>
        <v>4</v>
      </c>
      <c r="G29" s="89">
        <f>SUM('PEN&amp;UND'!G7,SOC!G17,PY!G27,PSC!G17,PHL!G17,MU!G17,'HY'!G27,FLT!G17,'EH'!G27,'ED'!G17,'CM'!G17,ART!G17,)</f>
        <v>19</v>
      </c>
      <c r="H29" s="67">
        <f>SUM('PEN&amp;UND'!H7,SOC!H17,PY!H27,PSC!H17,PHL!H17,MU!H17,'HY'!H27,FLT!H17,'EH'!H27,'ED'!H17,'CM'!H17,ART!H17,)</f>
        <v>7</v>
      </c>
      <c r="I29" s="89">
        <f>SUM('PEN&amp;UND'!I7,SOC!I17,PY!I27,PSC!I17,PHL!I17,MU!I17,'HY'!I27,FLT!I17,'EH'!I27,'ED'!I17,'CM'!I17,ART!I17,)</f>
        <v>14</v>
      </c>
      <c r="J29" s="67">
        <f>SUM('PEN&amp;UND'!J7,SOC!J17,PY!J27,PSC!J17,PHL!J17,MU!J17,'HY'!J27,FLT!J17,'EH'!J27,'ED'!J17,'CM'!J17,ART!J17,)</f>
        <v>8</v>
      </c>
      <c r="K29" s="89">
        <f>SUM('PEN&amp;UND'!K7,SOC!K17,PY!K27,PSC!K17,PHL!K17,MU!K17,'HY'!K27,FLT!K17,'EH'!K27,'ED'!K17,'CM'!K17,ART!K17,)</f>
        <v>9</v>
      </c>
      <c r="L29" s="67">
        <f>SUM('PEN&amp;UND'!L7,SOC!L17,PY!L27,PSC!L17,PHL!L17,MU!L17,'HY'!L27,FLT!L17,'EH'!L27,'ED'!L17,'CM'!L17,ART!L17,)</f>
        <v>10</v>
      </c>
      <c r="M29" s="89">
        <f>SUM('PEN&amp;UND'!M7,SOC!M17,PY!M27,PSC!M17,PHL!M17,MU!M17,'HY'!M27,FLT!M17,'EH'!M27,'ED'!M17,'CM'!M17,ART!M17,)</f>
        <v>13</v>
      </c>
      <c r="N29" s="86">
        <f>FLT!N17+'CM'!N17+ART!N17+'EH'!N27+PHL!N17+PSC!N17+PY!N27+SOC!N17</f>
        <v>0</v>
      </c>
      <c r="O29" s="86">
        <f>FLT!O17+'CM'!O17+ART!O17+'EH'!O27+PHL!O17+PSC!O17+PY!O27+SOC!O17</f>
        <v>0</v>
      </c>
      <c r="P29" s="67">
        <f>SUM('PEN&amp;UND'!P7,SOC!P17,PY!P27,PSC!P17,PHL!P17,MU!P17,'HY'!P27,FLT!P17,'EH'!P27,'ED'!P17,'CM'!P17,ART!P17,)</f>
        <v>303</v>
      </c>
      <c r="Q29" s="89">
        <f>SUM('PEN&amp;UND'!Q7,SOC!Q17,PY!Q27,PSC!Q17,PHL!Q17,MU!Q17,'HY'!Q27,FLT!Q17,'EH'!Q27,'ED'!Q17,'CM'!Q17,ART!Q17,)</f>
        <v>668</v>
      </c>
      <c r="R29" s="68">
        <f>SUM('PEN&amp;UND'!R7,SOC!R17,PY!R27,PSC!R17,PHL!R17,MU!R17,'HY'!R27,FLT!R17,'EH'!R27,'ED'!R17,'CM'!R17,ART!R17,)</f>
        <v>971</v>
      </c>
    </row>
    <row r="30" spans="1:18" s="16" customFormat="1" ht="10.5" customHeight="1">
      <c r="A30" s="6" t="s">
        <v>44</v>
      </c>
      <c r="B30" s="67">
        <f>SUM('PEN&amp;UND'!B8,SOC!B18,PY!B28,PSC!B18,PHL!B18,MU!B18,'HY'!B28,FLT!B18,'EH'!B28,'ED'!B18,'CM'!B18,ART!B18,)</f>
        <v>273</v>
      </c>
      <c r="C30" s="89">
        <f>SUM('PEN&amp;UND'!C8,SOC!C18,PY!C28,PSC!C18,PHL!C18,MU!C18,'HY'!C28,FLT!C18,'EH'!C28,'ED'!C18,'CM'!C18,ART!C18,)</f>
        <v>517</v>
      </c>
      <c r="D30" s="67">
        <f>SUM('PEN&amp;UND'!D8,SOC!D18,PY!D28,PSC!D18,PHL!D18,MU!D18,'HY'!D28,FLT!D18,'EH'!D28,'ED'!D18,'CM'!D18,ART!D18,)</f>
        <v>26</v>
      </c>
      <c r="E30" s="89">
        <f>SUM('PEN&amp;UND'!E8,SOC!E18,PY!E28,PSC!E18,PHL!E18,MU!E18,'HY'!E28,FLT!E18,'EH'!E28,'ED'!E18,'CM'!E18,ART!E18,)</f>
        <v>118</v>
      </c>
      <c r="F30" s="67">
        <f>SUM('PEN&amp;UND'!F8,SOC!F18,PY!F28,PSC!F18,PHL!F18,MU!F18,'HY'!F28,FLT!F18,'EH'!F28,'ED'!F18,'CM'!F18,ART!F18,)</f>
        <v>6</v>
      </c>
      <c r="G30" s="89">
        <f>SUM('PEN&amp;UND'!G8,SOC!G18,PY!G28,PSC!G18,PHL!G18,MU!G18,'HY'!G28,FLT!G18,'EH'!G28,'ED'!G18,'CM'!G18,ART!G18,)</f>
        <v>20</v>
      </c>
      <c r="H30" s="67">
        <f>SUM('PEN&amp;UND'!H8,SOC!H18,PY!H28,PSC!H18,PHL!H18,MU!H18,'HY'!H28,FLT!H18,'EH'!H28,'ED'!H18,'CM'!H18,ART!H18,)</f>
        <v>6</v>
      </c>
      <c r="I30" s="89">
        <f>SUM('PEN&amp;UND'!I8,SOC!I18,PY!I28,PSC!I18,PHL!I18,MU!I18,'HY'!I28,FLT!I18,'EH'!I28,'ED'!I18,'CM'!I18,ART!I18,)</f>
        <v>20</v>
      </c>
      <c r="J30" s="67">
        <f>SUM('PEN&amp;UND'!J8,SOC!J18,PY!J28,PSC!J18,PHL!J18,MU!J18,'HY'!J28,FLT!J18,'EH'!J28,'ED'!J18,'CM'!J18,ART!J18,)</f>
        <v>5</v>
      </c>
      <c r="K30" s="89">
        <f>SUM('PEN&amp;UND'!K8,SOC!K18,PY!K28,PSC!K18,PHL!K18,MU!K18,'HY'!K28,FLT!K18,'EH'!K28,'ED'!K18,'CM'!K18,ART!K18,)</f>
        <v>6</v>
      </c>
      <c r="L30" s="67">
        <f>SUM('PEN&amp;UND'!L8,SOC!L18,PY!L28,PSC!L18,PHL!L18,MU!L18,'HY'!L28,FLT!L18,'EH'!L28,'ED'!L18,'CM'!L18,ART!L18,)</f>
        <v>9</v>
      </c>
      <c r="M30" s="89">
        <f>SUM('PEN&amp;UND'!M8,SOC!M18,PY!M28,PSC!M18,PHL!M18,MU!M18,'HY'!M28,FLT!M18,'EH'!M28,'ED'!M18,'CM'!M18,ART!M18,)</f>
        <v>11</v>
      </c>
      <c r="N30" s="86">
        <f>FLT!N18+'CM'!N18+ART!N18+'EH'!N28+PHL!N18+PSC!N18+PY!N28+SOC!N18</f>
        <v>1</v>
      </c>
      <c r="O30" s="86">
        <f>FLT!O18+'CM'!O18+ART!O18+'EH'!O28+PHL!O18+PSC!O18+PY!O28+SOC!O18</f>
        <v>0</v>
      </c>
      <c r="P30" s="67">
        <f>SUM('PEN&amp;UND'!P8,SOC!P18,PY!P28,PSC!P18,PHL!P18,MU!P18,'HY'!P28,FLT!P18,'EH'!P28,'ED'!P18,'CM'!P18,ART!P18,)</f>
        <v>326</v>
      </c>
      <c r="Q30" s="89">
        <f>SUM('PEN&amp;UND'!Q8,SOC!Q18,PY!Q28,PSC!Q18,PHL!Q18,MU!Q18,'HY'!Q28,FLT!Q18,'EH'!Q28,'ED'!Q18,'CM'!Q18,ART!Q18,)</f>
        <v>692</v>
      </c>
      <c r="R30" s="68">
        <f>SUM('PEN&amp;UND'!R8,SOC!R18,PY!R28,PSC!R18,PHL!R18,MU!R18,'HY'!R28,FLT!R18,'EH'!R28,'ED'!R18,'CM'!R18,ART!R18,)</f>
        <v>1018</v>
      </c>
    </row>
    <row r="31" spans="1:18" s="16" customFormat="1" ht="10.5" customHeight="1">
      <c r="A31" s="6" t="s">
        <v>48</v>
      </c>
      <c r="B31" s="67">
        <f>SUM('PEN&amp;UND'!B9,SOC!B19,PY!B29,PSC!B19,PHL!B19,MU!B19,'HY'!B29,FLT!B19,'EH'!B29,'ED'!B19,'CM'!B19,ART!B19,)</f>
        <v>294</v>
      </c>
      <c r="C31" s="89">
        <f>SUM('PEN&amp;UND'!C9,SOC!C19,PY!C29,PSC!C19,PHL!C19,MU!C19,'HY'!C29,FLT!C19,'EH'!C29,'ED'!C19,'CM'!C19,ART!C19,)</f>
        <v>561</v>
      </c>
      <c r="D31" s="67">
        <f>SUM('PEN&amp;UND'!D9,SOC!D19,PY!D29,PSC!D19,PHL!D19,MU!D19,'HY'!D29,FLT!D19,'EH'!D29,'ED'!D19,'CM'!D19,ART!D19,)</f>
        <v>31</v>
      </c>
      <c r="E31" s="89">
        <f>SUM('PEN&amp;UND'!E9,SOC!E19,PY!E29,PSC!E19,PHL!E19,MU!E19,'HY'!E29,FLT!E19,'EH'!E29,'ED'!E19,'CM'!E19,ART!E19,)</f>
        <v>122</v>
      </c>
      <c r="F31" s="67">
        <f>SUM('PEN&amp;UND'!F9,SOC!F19,PY!F29,PSC!F19,PHL!F19,MU!F19,'HY'!F29,FLT!F19,'EH'!F29,'ED'!F19,'CM'!F19,ART!F19,)</f>
        <v>7</v>
      </c>
      <c r="G31" s="89">
        <f>SUM('PEN&amp;UND'!G9,SOC!G19,PY!G29,PSC!G19,PHL!G19,MU!G19,'HY'!G29,FLT!G19,'EH'!G29,'ED'!G19,'CM'!G19,ART!G19,)</f>
        <v>15</v>
      </c>
      <c r="H31" s="67">
        <f>SUM('PEN&amp;UND'!H9,SOC!H19,PY!H29,PSC!H19,PHL!H19,MU!H19,'HY'!H29,FLT!H19,'EH'!H29,'ED'!H19,'CM'!H19,ART!H19,)</f>
        <v>8</v>
      </c>
      <c r="I31" s="89">
        <f>SUM('PEN&amp;UND'!I9,SOC!I19,PY!I29,PSC!I19,PHL!I19,MU!I19,'HY'!I29,FLT!I19,'EH'!I29,'ED'!I19,'CM'!I19,ART!I19,)</f>
        <v>18</v>
      </c>
      <c r="J31" s="67">
        <f>SUM('PEN&amp;UND'!J9,SOC!J19,PY!J29,PSC!J19,PHL!J19,MU!J19,'HY'!J29,FLT!J19,'EH'!J29,'ED'!J19,'CM'!J19,ART!J19,)</f>
        <v>3</v>
      </c>
      <c r="K31" s="89">
        <f>SUM('PEN&amp;UND'!K9,SOC!K19,PY!K29,PSC!K19,PHL!K19,MU!K19,'HY'!K29,FLT!K19,'EH'!K29,'ED'!K19,'CM'!K19,ART!K19,)</f>
        <v>12</v>
      </c>
      <c r="L31" s="67">
        <f>SUM('PEN&amp;UND'!L9,SOC!L19,PY!L29,PSC!L19,PHL!L19,MU!L19,'HY'!L29,FLT!L19,'EH'!L29,'ED'!L19,'CM'!L19,ART!L19,)</f>
        <v>13</v>
      </c>
      <c r="M31" s="89">
        <f>SUM('PEN&amp;UND'!M9,SOC!M19,PY!M29,PSC!M19,PHL!M19,MU!M19,'HY'!M29,FLT!M19,'EH'!M29,'ED'!M19,'CM'!M19,ART!M19,)</f>
        <v>15</v>
      </c>
      <c r="N31" s="86">
        <f>FLT!N19+'CM'!N19+ART!N19+'EH'!N29+PHL!N19+PSC!N19+PY!N29+SOC!N19</f>
        <v>0</v>
      </c>
      <c r="O31" s="86">
        <f>FLT!O19+'CM'!O19+ART!O19+'EH'!O29+PHL!O19+PSC!O19+PY!O29+SOC!O19</f>
        <v>2</v>
      </c>
      <c r="P31" s="67">
        <f>SUM('PEN&amp;UND'!P9,SOC!P19,PY!P29,PSC!P19,PHL!P19,MU!P19,'HY'!P29,FLT!P19,'EH'!P29,'ED'!P19,'CM'!P19,ART!P19,)</f>
        <v>356</v>
      </c>
      <c r="Q31" s="89">
        <f>SUM('PEN&amp;UND'!Q9,SOC!Q19,PY!Q29,PSC!Q19,PHL!Q19,MU!Q19,'HY'!Q29,FLT!Q19,'EH'!Q29,'ED'!Q19,'CM'!Q19,ART!Q19,)</f>
        <v>745</v>
      </c>
      <c r="R31" s="68">
        <f>SUM('PEN&amp;UND'!R9,SOC!R19,PY!R29,PSC!R19,PHL!R19,MU!R19,'HY'!R29,FLT!R19,'EH'!R29,'ED'!R19,'CM'!R19,ART!R19,)</f>
        <v>1101</v>
      </c>
    </row>
    <row r="32" spans="1:18" s="16" customFormat="1" ht="10.5" customHeight="1">
      <c r="A32" s="6" t="s">
        <v>50</v>
      </c>
      <c r="B32" s="67">
        <f>SUM('PEN&amp;UND'!B10,SOC!B20,PY!B30,PSC!B20,PHL!B20,MU!B20,'HY'!B30,FLT!B20,'EH'!B30,'ED'!B20,'CM'!B20,ART!B20,)</f>
        <v>301</v>
      </c>
      <c r="C32" s="89">
        <f>SUM('PEN&amp;UND'!C10,SOC!C20,PY!C30,PSC!C20,PHL!C20,MU!C20,'HY'!C30,FLT!C20,'EH'!C30,'ED'!C20,'CM'!C20,ART!C20,)</f>
        <v>582</v>
      </c>
      <c r="D32" s="67">
        <f>SUM('PEN&amp;UND'!D10,SOC!D20,PY!D30,PSC!D20,PHL!D20,MU!D20,'HY'!D30,FLT!D20,'EH'!D30,'ED'!D20,'CM'!D20,ART!D20,)</f>
        <v>34</v>
      </c>
      <c r="E32" s="89">
        <f>SUM('PEN&amp;UND'!E10,SOC!E20,PY!E30,PSC!E20,PHL!E20,MU!E20,'HY'!E30,FLT!E20,'EH'!E30,'ED'!E20,'CM'!E20,ART!E20,)</f>
        <v>120</v>
      </c>
      <c r="F32" s="67">
        <f>SUM('PEN&amp;UND'!F10,SOC!F20,PY!F30,PSC!F20,PHL!F20,MU!F20,'HY'!F30,FLT!F20,'EH'!F30,'ED'!F20,'CM'!F20,ART!F20,)</f>
        <v>5</v>
      </c>
      <c r="G32" s="89">
        <f>SUM('PEN&amp;UND'!G10,SOC!G20,PY!G30,PSC!G20,PHL!G20,MU!G20,'HY'!G30,FLT!G20,'EH'!G30,'ED'!G20,'CM'!G20,ART!G20,)</f>
        <v>23</v>
      </c>
      <c r="H32" s="67">
        <f>SUM('PEN&amp;UND'!H10,SOC!H20,PY!H30,PSC!H20,PHL!H20,MU!H20,'HY'!H30,FLT!H20,'EH'!H30,'ED'!H20,'CM'!H20,ART!H20,)</f>
        <v>8</v>
      </c>
      <c r="I32" s="89">
        <f>SUM('PEN&amp;UND'!I10,SOC!I20,PY!I30,PSC!I20,PHL!I20,MU!I20,'HY'!I30,FLT!I20,'EH'!I30,'ED'!I20,'CM'!I20,ART!I20,)</f>
        <v>18</v>
      </c>
      <c r="J32" s="67">
        <f>SUM('PEN&amp;UND'!J10,SOC!J20,PY!J30,PSC!J20,PHL!J20,MU!J20,'HY'!J30,FLT!J20,'EH'!J30,'ED'!J20,'CM'!J20,ART!J20,)</f>
        <v>2</v>
      </c>
      <c r="K32" s="89">
        <f>SUM('PEN&amp;UND'!K10,SOC!K20,PY!K30,PSC!K20,PHL!K20,MU!K20,'HY'!K30,FLT!K20,'EH'!K30,'ED'!K20,'CM'!K20,ART!K20,)</f>
        <v>6</v>
      </c>
      <c r="L32" s="67">
        <f>SUM('PEN&amp;UND'!L10,SOC!L20,PY!L30,PSC!L20,PHL!L20,MU!L20,'HY'!L30,FLT!L20,'EH'!L30,'ED'!L20,'CM'!L20,ART!L20,)</f>
        <v>14</v>
      </c>
      <c r="M32" s="89">
        <f>SUM('PEN&amp;UND'!M10,SOC!M20,PY!M30,PSC!M20,PHL!M20,MU!M20,'HY'!M30,FLT!M20,'EH'!M30,'ED'!M20,'CM'!M20,ART!M20,)</f>
        <v>15</v>
      </c>
      <c r="N32" s="86">
        <f>FLT!N20+'CM'!N20+ART!N20+'EH'!N30+PHL!N20+PSC!N20+PY!N30+SOC!N20</f>
        <v>5</v>
      </c>
      <c r="O32" s="86">
        <f>FLT!O20+'CM'!O20+ART!O20+'EH'!O30+PHL!O20+PSC!O20+PY!O30+SOC!O20</f>
        <v>11</v>
      </c>
      <c r="P32" s="67">
        <f>SUM('PEN&amp;UND'!P10,SOC!P20,PY!P30,PSC!P20,PHL!P20,MU!P20,'HY'!P30,FLT!P20,'EH'!P30,'ED'!P20,'CM'!P20,ART!P20,)</f>
        <v>369</v>
      </c>
      <c r="Q32" s="89">
        <f>SUM('PEN&amp;UND'!Q10,SOC!Q20,PY!Q30,PSC!Q20,PHL!Q20,MU!Q20,'HY'!Q30,FLT!Q20,'EH'!Q30,'ED'!Q20,'CM'!Q20,ART!Q20,)</f>
        <v>775</v>
      </c>
      <c r="R32" s="68">
        <f>SUM('PEN&amp;UND'!R10,SOC!R20,PY!R30,PSC!R20,PHL!R20,MU!R20,'HY'!R30,FLT!R20,'EH'!R30,'ED'!R20,'CM'!R20,ART!R20,)</f>
        <v>1144</v>
      </c>
    </row>
    <row r="33" spans="1:18" s="16" customFormat="1" ht="10.5" customHeight="1">
      <c r="A33" s="15" t="s">
        <v>57</v>
      </c>
      <c r="B33" s="67">
        <f>SUM('PEN&amp;UND'!B11,SOC!B21,PY!B31,PSC!B21,PHL!B21,MU!B21,'HY'!B31,FLT!B21,'EH'!B31,'ED'!B21,'CM'!B21,ART!B21,)</f>
        <v>306</v>
      </c>
      <c r="C33" s="89">
        <f>SUM('PEN&amp;UND'!C11,SOC!C21,PY!C31,PSC!C21,PHL!C21,MU!C21,'HY'!C31,FLT!C21,'EH'!C31,'ED'!C21,'CM'!C21,ART!C21,)</f>
        <v>574</v>
      </c>
      <c r="D33" s="67">
        <f>SUM('PEN&amp;UND'!D11,SOC!D21,PY!D31,PSC!D21,PHL!D21,MU!D21,'HY'!D31,FLT!D21,'EH'!D31,'ED'!D21,'CM'!D21,ART!D21,)</f>
        <v>42</v>
      </c>
      <c r="E33" s="89">
        <f>SUM('PEN&amp;UND'!E11,SOC!E21,PY!E31,PSC!E21,PHL!E21,MU!E21,'HY'!E31,FLT!E21,'EH'!E31,'ED'!E21,'CM'!E21,ART!E21,)</f>
        <v>129</v>
      </c>
      <c r="F33" s="67">
        <f>SUM('PEN&amp;UND'!F11,SOC!F21,PY!F31,PSC!F21,PHL!F21,MU!F21,'HY'!F31,FLT!F21,'EH'!F31,'ED'!F21,'CM'!F21,ART!F21,)</f>
        <v>11</v>
      </c>
      <c r="G33" s="89">
        <f>SUM('PEN&amp;UND'!G11,SOC!G21,PY!G31,PSC!G21,PHL!G21,MU!G21,'HY'!G31,FLT!G21,'EH'!G31,'ED'!G21,'CM'!G21,ART!G21,)</f>
        <v>27</v>
      </c>
      <c r="H33" s="67">
        <f>SUM('PEN&amp;UND'!H11,SOC!H21,PY!H31,PSC!H21,PHL!H21,MU!H21,'HY'!H31,FLT!H21,'EH'!H31,'ED'!H21,'CM'!H21,ART!H21,)</f>
        <v>10</v>
      </c>
      <c r="I33" s="89">
        <f>SUM('PEN&amp;UND'!I11,SOC!I21,PY!I31,PSC!I21,PHL!I21,MU!I21,'HY'!I31,FLT!I21,'EH'!I31,'ED'!I21,'CM'!I21,ART!I21,)</f>
        <v>18</v>
      </c>
      <c r="J33" s="67">
        <f>SUM('PEN&amp;UND'!J11,SOC!J21,PY!J31,PSC!J21,PHL!J21,MU!J21,'HY'!J31,FLT!J21,'EH'!J31,'ED'!J21,'CM'!J21,ART!J21,)</f>
        <v>3</v>
      </c>
      <c r="K33" s="89">
        <f>SUM('PEN&amp;UND'!K11,SOC!K21,PY!K31,PSC!K21,PHL!K21,MU!K21,'HY'!K31,FLT!K21,'EH'!K31,'ED'!K21,'CM'!K21,ART!K21,)</f>
        <v>10</v>
      </c>
      <c r="L33" s="67">
        <f>SUM('PEN&amp;UND'!L11,SOC!L21,PY!L31,PSC!L21,PHL!L21,MU!L21,'HY'!L31,FLT!L21,'EH'!L31,'ED'!L21,'CM'!L21,ART!L21,)</f>
        <v>6</v>
      </c>
      <c r="M33" s="89">
        <f>SUM('PEN&amp;UND'!M11,SOC!M21,PY!M31,PSC!M21,PHL!M21,MU!M21,'HY'!M31,FLT!M21,'EH'!M31,'ED'!M21,'CM'!M21,ART!M21,)</f>
        <v>8</v>
      </c>
      <c r="N33" s="86">
        <f>FLT!N21+'CM'!N21+ART!N21+'EH'!N31+PHL!N21+PSC!N21+PY!N31+SOC!N21+'ED'!N21+MU!N21+'PEN&amp;UND'!N11</f>
        <v>9</v>
      </c>
      <c r="O33" s="86">
        <f>FLT!O21+'CM'!O21+ART!O21+'EH'!O31+PHL!O21+PSC!O21+PY!O31+SOC!O21+'ED'!O21+MU!O21+'PEN&amp;UND'!O11</f>
        <v>16</v>
      </c>
      <c r="P33" s="67">
        <f>SUM('PEN&amp;UND'!P11,SOC!P21,PY!P31,PSC!P21,PHL!P21,MU!P21,'HY'!P31,FLT!P21,'EH'!P31,'ED'!P21,'CM'!P21,ART!P21,)</f>
        <v>387</v>
      </c>
      <c r="Q33" s="89">
        <f>SUM('PEN&amp;UND'!Q11,SOC!Q21,PY!Q31,PSC!Q21,PHL!Q21,MU!Q21,'HY'!Q31,FLT!Q21,'EH'!Q31,'ED'!Q21,'CM'!Q21,ART!Q21,)</f>
        <v>782</v>
      </c>
      <c r="R33" s="68">
        <f>SUM('PEN&amp;UND'!R11,SOC!R21,PY!R31,PSC!R21,PHL!R21,MU!R21,'HY'!R31,FLT!R21,'EH'!R31,'ED'!R21,'CM'!R21,ART!R21,)</f>
        <v>1169</v>
      </c>
    </row>
    <row r="34" spans="1:18" s="16" customFormat="1" ht="10.5" customHeight="1">
      <c r="A34" s="15"/>
      <c r="B34" s="34"/>
      <c r="C34" s="20"/>
      <c r="D34" s="9"/>
      <c r="E34" s="20"/>
      <c r="F34" s="9"/>
      <c r="G34" s="20"/>
      <c r="H34" s="9"/>
      <c r="I34" s="20"/>
      <c r="J34" s="9"/>
      <c r="K34" s="20"/>
      <c r="L34" s="9"/>
      <c r="M34" s="10"/>
      <c r="N34" s="20"/>
      <c r="O34" s="20"/>
      <c r="P34" s="9"/>
      <c r="Q34" s="20"/>
      <c r="R34" s="11"/>
    </row>
    <row r="36" ht="10.5" customHeight="1">
      <c r="A36" s="6" t="s">
        <v>17</v>
      </c>
    </row>
    <row r="37" spans="1:18" ht="10.5" customHeight="1">
      <c r="A37" s="6" t="s">
        <v>11</v>
      </c>
      <c r="B37" s="45" t="s">
        <v>1</v>
      </c>
      <c r="C37" s="46"/>
      <c r="D37" s="45" t="s">
        <v>2</v>
      </c>
      <c r="E37" s="46"/>
      <c r="F37" s="45" t="s">
        <v>3</v>
      </c>
      <c r="G37" s="46"/>
      <c r="H37" s="45" t="s">
        <v>4</v>
      </c>
      <c r="I37" s="46"/>
      <c r="J37" s="45" t="s">
        <v>5</v>
      </c>
      <c r="K37" s="46"/>
      <c r="L37" s="118" t="s">
        <v>6</v>
      </c>
      <c r="M37" s="119"/>
      <c r="N37" s="105" t="s">
        <v>45</v>
      </c>
      <c r="O37" s="105"/>
      <c r="P37" s="45" t="s">
        <v>7</v>
      </c>
      <c r="Q37" s="46"/>
      <c r="R37" s="41" t="s">
        <v>8</v>
      </c>
    </row>
    <row r="38" spans="1:18" ht="10.5" customHeight="1">
      <c r="A38" s="6" t="s">
        <v>12</v>
      </c>
      <c r="B38" s="42" t="s">
        <v>9</v>
      </c>
      <c r="C38" s="43" t="s">
        <v>10</v>
      </c>
      <c r="D38" s="42" t="s">
        <v>9</v>
      </c>
      <c r="E38" s="43" t="s">
        <v>10</v>
      </c>
      <c r="F38" s="42" t="s">
        <v>9</v>
      </c>
      <c r="G38" s="43" t="s">
        <v>10</v>
      </c>
      <c r="H38" s="42" t="s">
        <v>9</v>
      </c>
      <c r="I38" s="43" t="s">
        <v>10</v>
      </c>
      <c r="J38" s="42" t="s">
        <v>9</v>
      </c>
      <c r="K38" s="43" t="s">
        <v>10</v>
      </c>
      <c r="L38" s="42" t="s">
        <v>9</v>
      </c>
      <c r="M38" s="43" t="s">
        <v>10</v>
      </c>
      <c r="N38" s="42" t="s">
        <v>9</v>
      </c>
      <c r="O38" s="43" t="s">
        <v>10</v>
      </c>
      <c r="P38" s="42" t="s">
        <v>9</v>
      </c>
      <c r="Q38" s="43" t="s">
        <v>10</v>
      </c>
      <c r="R38" s="44" t="s">
        <v>7</v>
      </c>
    </row>
    <row r="39" spans="1:18" ht="10.5" customHeight="1">
      <c r="A39" s="6"/>
      <c r="B39" s="21"/>
      <c r="C39" s="22"/>
      <c r="D39" s="21"/>
      <c r="E39" s="22"/>
      <c r="F39" s="21"/>
      <c r="G39" s="22"/>
      <c r="H39" s="21"/>
      <c r="I39" s="22"/>
      <c r="J39" s="21"/>
      <c r="K39" s="22"/>
      <c r="L39" s="21"/>
      <c r="M39" s="22"/>
      <c r="N39" s="23"/>
      <c r="O39" s="23"/>
      <c r="P39" s="12"/>
      <c r="Q39" s="13"/>
      <c r="R39" s="14"/>
    </row>
    <row r="40" spans="1:18" s="16" customFormat="1" ht="10.5" customHeight="1">
      <c r="A40" s="6" t="s">
        <v>42</v>
      </c>
      <c r="B40" s="63">
        <f>SUM(PA!B17,PY!B38,'HY'!B38,'EH'!B38,TSOL!B27,CTC!B28)</f>
        <v>21</v>
      </c>
      <c r="C40" s="64">
        <f>SUM(PA!C17,PY!C38,'HY'!C38,'EH'!C38,TSOL!C27,CTC!C28)</f>
        <v>62</v>
      </c>
      <c r="D40" s="63">
        <f>SUM(PA!D17,PY!D38,'HY'!D38,'EH'!D38,TSOL!D27,CTC!D28)</f>
        <v>5</v>
      </c>
      <c r="E40" s="64">
        <f>SUM(PA!E17,PY!E38,'HY'!E38,'EH'!E38,TSOL!E27,CTC!E28)</f>
        <v>7</v>
      </c>
      <c r="F40" s="63">
        <f>SUM(PA!F17,PY!F38,'HY'!F38,'EH'!F38,TSOL!F27,CTC!F28)</f>
        <v>0</v>
      </c>
      <c r="G40" s="64">
        <f>SUM(PA!G17,PY!G38,'HY'!G38,'EH'!G38,TSOL!G27,CTC!G28)</f>
        <v>3</v>
      </c>
      <c r="H40" s="63">
        <f>SUM(PA!H17,PY!H38,'HY'!H38,'EH'!H38,TSOL!H27,CTC!H28)</f>
        <v>0</v>
      </c>
      <c r="I40" s="64">
        <f>SUM(PA!I17,PY!I38,'HY'!I38,'EH'!I38,TSOL!I27,CTC!I28)</f>
        <v>0</v>
      </c>
      <c r="J40" s="63">
        <f>SUM(PA!J17,PY!J38,'HY'!J38,'EH'!J38,TSOL!J27,CTC!J28)</f>
        <v>0</v>
      </c>
      <c r="K40" s="64">
        <f>SUM(PA!K17,PY!K38,'HY'!K38,'EH'!K38,TSOL!K27,CTC!K28)</f>
        <v>2</v>
      </c>
      <c r="L40" s="63">
        <f>SUM(PA!L17,PY!L38,'HY'!L38,'EH'!L38,TSOL!L27,CTC!L28)</f>
        <v>0</v>
      </c>
      <c r="M40" s="64">
        <f>SUM(PA!M17,PY!M38,'HY'!M38,'EH'!M38,TSOL!M27,CTC!M28)</f>
        <v>2</v>
      </c>
      <c r="N40" s="65">
        <f>SUM(PA!N17,PY!N38,'HY'!N38,'EH'!N38,TSOL!N27,CTC!N28)</f>
        <v>0</v>
      </c>
      <c r="O40" s="65">
        <f>SUM(PA!O17,PY!O38,'HY'!O38,'EH'!O38,TSOL!O27,CTC!O28)</f>
        <v>0</v>
      </c>
      <c r="P40" s="63">
        <f>SUM(PA!P17,PY!P38,'HY'!P38,'EH'!P38,TSOL!P27,CTC!P28)</f>
        <v>26</v>
      </c>
      <c r="Q40" s="64">
        <f>SUM(PA!Q17,PY!Q38,'HY'!Q38,'EH'!Q38,TSOL!Q27,CTC!Q28)</f>
        <v>76</v>
      </c>
      <c r="R40" s="66">
        <f>SUM(Q40,P40)</f>
        <v>102</v>
      </c>
    </row>
    <row r="41" spans="1:18" s="16" customFormat="1" ht="10.5" customHeight="1">
      <c r="A41" s="6" t="s">
        <v>44</v>
      </c>
      <c r="B41" s="63">
        <f>SUM(PA!B18,PY!B39,'HY'!B39,'EH'!B39,TSOL!B28,CTC!B29)</f>
        <v>18</v>
      </c>
      <c r="C41" s="64">
        <f>SUM(PA!C18,PY!C39,'HY'!C39,'EH'!C39,TSOL!C28,CTC!C29)</f>
        <v>76</v>
      </c>
      <c r="D41" s="63">
        <f>SUM(PA!D18,PY!D39,'HY'!D39,'EH'!D39,TSOL!D28,CTC!D29)</f>
        <v>3</v>
      </c>
      <c r="E41" s="64">
        <f>SUM(PA!E18,PY!E39,'HY'!E39,'EH'!E39,TSOL!E28,CTC!E29)</f>
        <v>8</v>
      </c>
      <c r="F41" s="63">
        <f>SUM(PA!F18,PY!F39,'HY'!F39,'EH'!F39,TSOL!F28,CTC!F29)</f>
        <v>0</v>
      </c>
      <c r="G41" s="64">
        <f>SUM(PA!G18,PY!G39,'HY'!G39,'EH'!G39,TSOL!G28,CTC!G29)</f>
        <v>1</v>
      </c>
      <c r="H41" s="63">
        <f>SUM(PA!H18,PY!H39,'HY'!H39,'EH'!H39,TSOL!H28,CTC!H29)</f>
        <v>1</v>
      </c>
      <c r="I41" s="64">
        <f>SUM(PA!I18,PY!I39,'HY'!I39,'EH'!I39,TSOL!I28,CTC!I29)</f>
        <v>0</v>
      </c>
      <c r="J41" s="63">
        <f>SUM(PA!J18,PY!J39,'HY'!J39,'EH'!J39,TSOL!J28,CTC!J29)</f>
        <v>0</v>
      </c>
      <c r="K41" s="64">
        <f>SUM(PA!K18,PY!K39,'HY'!K39,'EH'!K39,TSOL!K28,CTC!K29)</f>
        <v>3</v>
      </c>
      <c r="L41" s="63">
        <f>SUM(PA!L18,PY!L39,'HY'!L39,'EH'!L39,TSOL!L28,CTC!L29)</f>
        <v>0</v>
      </c>
      <c r="M41" s="64">
        <f>SUM(PA!M18,PY!M39,'HY'!M39,'EH'!M39,TSOL!M28,CTC!M29)</f>
        <v>2</v>
      </c>
      <c r="N41" s="65">
        <f>SUM(PA!N18,PY!N39,'HY'!N39,'EH'!N39,TSOL!N28,CTC!N29)</f>
        <v>0</v>
      </c>
      <c r="O41" s="65">
        <f>SUM(PA!O18,PY!O39,'HY'!O39,'EH'!O39,TSOL!O28,CTC!O29)</f>
        <v>0</v>
      </c>
      <c r="P41" s="63">
        <f>SUM(L41,J41,H41,F41,D41,B41)</f>
        <v>22</v>
      </c>
      <c r="Q41" s="64">
        <f>SUM(M41,K41,I41,G41,E41,C41)</f>
        <v>90</v>
      </c>
      <c r="R41" s="66">
        <f>SUM(Q41,P41)</f>
        <v>112</v>
      </c>
    </row>
    <row r="42" spans="1:18" s="16" customFormat="1" ht="10.5" customHeight="1">
      <c r="A42" s="6" t="s">
        <v>48</v>
      </c>
      <c r="B42" s="112">
        <f>SUM(CTC!B30,'EH'!B40,'HY'!B40,PY!B40,PA!B19,TSOL!B29)</f>
        <v>28</v>
      </c>
      <c r="C42" s="113">
        <f>SUM(CTC!C30,'EH'!C40,'HY'!C40,PY!C40,PA!C19,TSOL!C29)</f>
        <v>74</v>
      </c>
      <c r="D42" s="112">
        <f>SUM(CTC!D30,'EH'!D40,'HY'!D40,PY!D40,PA!D19,TSOL!D29)</f>
        <v>0</v>
      </c>
      <c r="E42" s="113">
        <f>SUM(CTC!E30,'EH'!E40,'HY'!E40,PY!E40,PA!E19,TSOL!E29)</f>
        <v>15</v>
      </c>
      <c r="F42" s="112">
        <f>SUM(CTC!F30,'EH'!F40,'HY'!F40,PY!F40,PA!F19,TSOL!F29)</f>
        <v>0</v>
      </c>
      <c r="G42" s="113">
        <f>SUM(CTC!G30,'EH'!G40,'HY'!G40,PY!G40,PA!G19,TSOL!G29)</f>
        <v>1</v>
      </c>
      <c r="H42" s="112">
        <f>SUM(CTC!H30,'EH'!H40,'HY'!H40,PY!H40,PA!H19,TSOL!H29)</f>
        <v>1</v>
      </c>
      <c r="I42" s="113">
        <f>SUM(CTC!I30,'EH'!I40,'HY'!I40,PY!I40,PA!I19,TSOL!I29)</f>
        <v>0</v>
      </c>
      <c r="J42" s="112">
        <f>SUM(CTC!J30,'EH'!J40,'HY'!J40,PY!J40,PA!J19,TSOL!J29)</f>
        <v>0</v>
      </c>
      <c r="K42" s="113">
        <f>SUM(CTC!K30,'EH'!K40,'HY'!K40,PY!K40,PA!K19,TSOL!K29)</f>
        <v>0</v>
      </c>
      <c r="L42" s="112">
        <f>SUM(CTC!L30,'EH'!L40,'HY'!L40,PY!L40,PA!L19,TSOL!L29)</f>
        <v>0</v>
      </c>
      <c r="M42" s="113">
        <f>SUM(CTC!M30,'EH'!M40,'HY'!M40,PY!M40,PA!M19,TSOL!M29)</f>
        <v>1</v>
      </c>
      <c r="N42" s="114">
        <f>SUM(CTC!N30,'EH'!N40,'HY'!N40,PY!N40,PA!N19,TSOL!N29)</f>
        <v>0</v>
      </c>
      <c r="O42" s="114">
        <f>SUM(CTC!O30,'EH'!O40,'HY'!O40,PY!O40,PA!O19,TSOL!O29)</f>
        <v>0</v>
      </c>
      <c r="P42" s="112">
        <f>SUM(CTC!P30,'EH'!P40,'HY'!P40,PY!P40,PA!P19,TSOL!P29)</f>
        <v>29</v>
      </c>
      <c r="Q42" s="113">
        <f>SUM(CTC!Q30,'EH'!Q40,'HY'!Q40,PY!Q40,PA!Q19,TSOL!Q29)</f>
        <v>91</v>
      </c>
      <c r="R42" s="66">
        <f>SUM(Q42,P42)</f>
        <v>120</v>
      </c>
    </row>
    <row r="43" spans="1:18" s="16" customFormat="1" ht="10.5" customHeight="1">
      <c r="A43" s="6" t="s">
        <v>50</v>
      </c>
      <c r="B43" s="112">
        <f>SUM(CTC!B31,'EH'!B41,'HY'!B41,PY!B41,PA!B20,TSOL!B30)</f>
        <v>29</v>
      </c>
      <c r="C43" s="113">
        <f>SUM(CTC!C31,'EH'!C41,'HY'!C41,PY!C41,PA!C20,TSOL!C30)</f>
        <v>72</v>
      </c>
      <c r="D43" s="112">
        <f>SUM(CTC!D31,'EH'!D41,'HY'!D41,PY!D41,PA!D20,TSOL!D30)</f>
        <v>3</v>
      </c>
      <c r="E43" s="113">
        <f>SUM(CTC!E31,'EH'!E41,'HY'!E41,PY!E41,PA!E20,TSOL!E30)</f>
        <v>15</v>
      </c>
      <c r="F43" s="112">
        <f>SUM(CTC!F31,'EH'!F41,'HY'!F41,PY!F41,PA!F20,TSOL!F30)</f>
        <v>0</v>
      </c>
      <c r="G43" s="113">
        <f>SUM(CTC!G31,'EH'!G41,'HY'!G41,PY!G41,PA!G20,TSOL!G30)</f>
        <v>1</v>
      </c>
      <c r="H43" s="112">
        <f>SUM(CTC!H31,'EH'!H41,'HY'!H41,PY!H41,PA!H20,TSOL!H30)</f>
        <v>1</v>
      </c>
      <c r="I43" s="113">
        <f>SUM(CTC!I31,'EH'!I41,'HY'!I41,PY!I41,PA!I20,TSOL!I30)</f>
        <v>1</v>
      </c>
      <c r="J43" s="112">
        <f>SUM(CTC!J31,'EH'!J41,'HY'!J41,PY!J41,PA!J20,TSOL!J30)</f>
        <v>0</v>
      </c>
      <c r="K43" s="113">
        <f>SUM(CTC!K31,'EH'!K41,'HY'!K41,PY!K41,PA!K20,TSOL!K30)</f>
        <v>0</v>
      </c>
      <c r="L43" s="112">
        <f>SUM(CTC!L31,'EH'!L41,'HY'!L41,PY!L41,PA!L20,TSOL!L30)</f>
        <v>0</v>
      </c>
      <c r="M43" s="113">
        <f>SUM(CTC!M31,'EH'!M41,'HY'!M41,PY!M41,PA!M20,TSOL!M30)</f>
        <v>1</v>
      </c>
      <c r="N43" s="114">
        <f>SUM(CTC!N31,'EH'!N41,'HY'!N41,PY!N41,PA!N20,TSOL!N30)</f>
        <v>0</v>
      </c>
      <c r="O43" s="114">
        <f>SUM(CTC!O31,'EH'!O41,'HY'!O41,PY!O41,PA!O20,TSOL!O30)</f>
        <v>0</v>
      </c>
      <c r="P43" s="112">
        <f>SUM(CTC!P31,'EH'!P41,'HY'!P41,PY!P41,PA!P20,TSOL!P30)</f>
        <v>33</v>
      </c>
      <c r="Q43" s="113">
        <f>SUM(CTC!Q31,'EH'!Q41,'HY'!Q41,PY!Q41,PA!Q20,TSOL!Q30)</f>
        <v>90</v>
      </c>
      <c r="R43" s="66">
        <f>SUM(Q43,P43)</f>
        <v>123</v>
      </c>
    </row>
    <row r="44" spans="1:18" s="16" customFormat="1" ht="10.5" customHeight="1">
      <c r="A44" s="15" t="s">
        <v>57</v>
      </c>
      <c r="B44" s="112">
        <f>SUM(CTC!B32,'EH'!B42,'HY'!B42,PY!B42,PA!B21,TSOL!B31)</f>
        <v>33</v>
      </c>
      <c r="C44" s="113">
        <f>SUM(CTC!C32,'EH'!C42,'HY'!C42,PY!C42,PA!C21,TSOL!C31)</f>
        <v>57</v>
      </c>
      <c r="D44" s="112">
        <f>SUM(CTC!D32,'EH'!D42,'HY'!D42,PY!D42,PA!D21,TSOL!D31)</f>
        <v>0</v>
      </c>
      <c r="E44" s="113">
        <f>SUM(CTC!E32,'EH'!E42,'HY'!E42,PY!E42,PA!E21,TSOL!E31)</f>
        <v>8</v>
      </c>
      <c r="F44" s="112">
        <f>SUM(CTC!F32,'EH'!F42,'HY'!F42,PY!F42,PA!F21,TSOL!F31)</f>
        <v>0</v>
      </c>
      <c r="G44" s="113">
        <f>SUM(CTC!G32,'EH'!G42,'HY'!G42,PY!G42,PA!G21,TSOL!G31)</f>
        <v>1</v>
      </c>
      <c r="H44" s="112">
        <f>SUM(CTC!H32,'EH'!H42,'HY'!H42,PY!H42,PA!H21,TSOL!H31)</f>
        <v>0</v>
      </c>
      <c r="I44" s="113">
        <f>SUM(CTC!I32,'EH'!I42,'HY'!I42,PY!I42,PA!I21,TSOL!I31)</f>
        <v>0</v>
      </c>
      <c r="J44" s="112">
        <f>SUM(CTC!J32,'EH'!J42,'HY'!J42,PY!J42,PA!J21,TSOL!J31)</f>
        <v>0</v>
      </c>
      <c r="K44" s="113">
        <f>SUM(CTC!K32,'EH'!K42,'HY'!K42,PY!K42,PA!K21,TSOL!K31)</f>
        <v>0</v>
      </c>
      <c r="L44" s="112">
        <f>SUM(CTC!L32,'EH'!L42,'HY'!L42,PY!L42,PA!L21,TSOL!L31)</f>
        <v>0</v>
      </c>
      <c r="M44" s="113">
        <f>SUM(CTC!M32,'EH'!M42,'HY'!M42,PY!M42,PA!M21,TSOL!M31)</f>
        <v>2</v>
      </c>
      <c r="N44" s="114">
        <f>SUM(CTC!N32,'EH'!N42,'HY'!N42,PY!N42,PA!N21,TSOL!N31,'EH'!N42)</f>
        <v>0</v>
      </c>
      <c r="O44" s="114">
        <f>SUM(CTC!O32,'EH'!O42,'HY'!O42,PY!O42,PA!O21,TSOL!O31)</f>
        <v>1</v>
      </c>
      <c r="P44" s="112">
        <f>SUM(CTC!P32,'EH'!P42,'HY'!P42,PY!P42,PA!P21,TSOL!P31)</f>
        <v>33</v>
      </c>
      <c r="Q44" s="113">
        <f>SUM(CTC!Q32,'EH'!Q42,'HY'!Q42,PY!Q42,PA!Q21,TSOL!Q31)</f>
        <v>69</v>
      </c>
      <c r="R44" s="66">
        <f>SUM(Q44,P44)</f>
        <v>102</v>
      </c>
    </row>
    <row r="45" spans="2:18" ht="10.5" customHeight="1">
      <c r="B45" s="9"/>
      <c r="C45" s="10"/>
      <c r="D45" s="9"/>
      <c r="E45" s="20"/>
      <c r="F45" s="9"/>
      <c r="G45" s="20"/>
      <c r="H45" s="9"/>
      <c r="I45" s="20"/>
      <c r="J45" s="9"/>
      <c r="K45" s="20"/>
      <c r="L45" s="9"/>
      <c r="M45" s="10"/>
      <c r="N45" s="20"/>
      <c r="O45" s="20"/>
      <c r="P45" s="9"/>
      <c r="Q45" s="20"/>
      <c r="R45" s="11"/>
    </row>
    <row r="48" ht="10.5" customHeight="1">
      <c r="A48" s="35"/>
    </row>
    <row r="49" ht="10.5" customHeight="1">
      <c r="A49" s="35"/>
    </row>
    <row r="50" ht="10.5" customHeight="1">
      <c r="A50" s="87"/>
    </row>
  </sheetData>
  <mergeCells count="4">
    <mergeCell ref="L5:M5"/>
    <mergeCell ref="L15:M15"/>
    <mergeCell ref="L26:M26"/>
    <mergeCell ref="L37:M37"/>
  </mergeCells>
  <printOptions horizontalCentered="1"/>
  <pageMargins left="0.25" right="0.25" top="1" bottom="0.75" header="0.5" footer="0.25"/>
  <pageSetup fitToHeight="1" fitToWidth="1" horizontalDpi="300" verticalDpi="300" orientation="landscape" scale="92" r:id="rId1"/>
  <headerFooter alignWithMargins="0">
    <oddHeader>&amp;CThe University of Alabama in Huntsville
Unit Academic Reports 
</oddHeader>
    <oddFooter xml:space="preserve">&amp;L&amp;8Office of Institutional Research
&amp;D (ly)
&amp;F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M628"/>
  <sheetViews>
    <sheetView workbookViewId="0" topLeftCell="A1">
      <selection activeCell="D10" sqref="D10"/>
    </sheetView>
  </sheetViews>
  <sheetFormatPr defaultColWidth="9.140625" defaultRowHeight="12.75" customHeight="1"/>
  <cols>
    <col min="1" max="1" width="22.7109375" style="35" customWidth="1"/>
    <col min="2" max="8" width="13.7109375" style="2" customWidth="1"/>
    <col min="9" max="16384" width="9.140625" style="2" customWidth="1"/>
  </cols>
  <sheetData>
    <row r="1" spans="1:8" ht="12.75" customHeight="1">
      <c r="A1" s="1" t="s">
        <v>25</v>
      </c>
      <c r="F1"/>
      <c r="G1"/>
      <c r="H1"/>
    </row>
    <row r="2" spans="1:8" ht="12.75" customHeight="1">
      <c r="A2" s="1"/>
      <c r="F2"/>
      <c r="G2"/>
      <c r="H2"/>
    </row>
    <row r="3" spans="1:8" ht="12.75" customHeight="1">
      <c r="A3" s="6" t="s">
        <v>13</v>
      </c>
      <c r="F3"/>
      <c r="G3"/>
      <c r="H3"/>
    </row>
    <row r="4" spans="1:4" s="38" customFormat="1" ht="12.75" customHeight="1">
      <c r="A4" s="39" t="s">
        <v>11</v>
      </c>
      <c r="B4" s="47" t="s">
        <v>16</v>
      </c>
      <c r="C4" s="47" t="s">
        <v>14</v>
      </c>
      <c r="D4" s="47" t="s">
        <v>15</v>
      </c>
    </row>
    <row r="5" spans="2:7" ht="12.75" customHeight="1">
      <c r="B5" s="8"/>
      <c r="C5" s="8"/>
      <c r="D5" s="8"/>
      <c r="E5"/>
      <c r="F5"/>
      <c r="G5"/>
    </row>
    <row r="6" spans="1:7" ht="12.75" customHeight="1">
      <c r="A6" s="6" t="s">
        <v>42</v>
      </c>
      <c r="B6" s="14">
        <v>75</v>
      </c>
      <c r="C6" s="14">
        <f>'ED'!R17</f>
        <v>154</v>
      </c>
      <c r="D6" s="14">
        <v>142</v>
      </c>
      <c r="E6"/>
      <c r="F6"/>
      <c r="G6"/>
    </row>
    <row r="7" spans="1:7" ht="12.75" customHeight="1">
      <c r="A7" s="6" t="s">
        <v>44</v>
      </c>
      <c r="B7" s="14">
        <v>72</v>
      </c>
      <c r="C7" s="14">
        <f>'ED'!R18</f>
        <v>151</v>
      </c>
      <c r="D7" s="14">
        <v>136</v>
      </c>
      <c r="E7"/>
      <c r="F7"/>
      <c r="G7"/>
    </row>
    <row r="8" spans="1:7" ht="12.75" customHeight="1">
      <c r="A8" s="6" t="s">
        <v>48</v>
      </c>
      <c r="B8" s="14">
        <v>64</v>
      </c>
      <c r="C8" s="14">
        <f>'ED'!R19</f>
        <v>146</v>
      </c>
      <c r="D8" s="14">
        <v>138</v>
      </c>
      <c r="E8"/>
      <c r="F8"/>
      <c r="G8"/>
    </row>
    <row r="9" spans="1:7" ht="12.75" customHeight="1">
      <c r="A9" s="15" t="s">
        <v>50</v>
      </c>
      <c r="B9" s="14">
        <v>73</v>
      </c>
      <c r="C9" s="14">
        <f>'ED'!R20</f>
        <v>156</v>
      </c>
      <c r="D9" s="14">
        <v>143</v>
      </c>
      <c r="E9"/>
      <c r="F9"/>
      <c r="G9"/>
    </row>
    <row r="10" spans="1:7" ht="12.75" customHeight="1">
      <c r="A10" s="15" t="s">
        <v>57</v>
      </c>
      <c r="B10" s="14">
        <v>76</v>
      </c>
      <c r="C10" s="14">
        <f>'ED'!R21</f>
        <v>163</v>
      </c>
      <c r="D10" s="14">
        <v>147</v>
      </c>
      <c r="E10"/>
      <c r="F10"/>
      <c r="G10"/>
    </row>
    <row r="11" spans="1:7" ht="12.75" customHeight="1">
      <c r="A11" s="6"/>
      <c r="B11" s="7"/>
      <c r="C11" s="7"/>
      <c r="D11" s="7"/>
      <c r="E11"/>
      <c r="F11"/>
      <c r="G11"/>
    </row>
    <row r="13" spans="1:8" s="38" customFormat="1" ht="12.75" customHeight="1">
      <c r="A13" s="39" t="s">
        <v>56</v>
      </c>
      <c r="B13" s="48" t="s">
        <v>13</v>
      </c>
      <c r="C13" s="48" t="s">
        <v>13</v>
      </c>
      <c r="D13" s="48" t="s">
        <v>7</v>
      </c>
      <c r="E13" s="48" t="s">
        <v>17</v>
      </c>
      <c r="F13" s="48" t="s">
        <v>17</v>
      </c>
      <c r="G13" s="49" t="s">
        <v>7</v>
      </c>
      <c r="H13" s="49" t="s">
        <v>8</v>
      </c>
    </row>
    <row r="14" spans="1:8" s="38" customFormat="1" ht="12.75" customHeight="1">
      <c r="A14" s="39"/>
      <c r="B14" s="50" t="s">
        <v>18</v>
      </c>
      <c r="C14" s="50" t="s">
        <v>19</v>
      </c>
      <c r="D14" s="50" t="s">
        <v>13</v>
      </c>
      <c r="E14" s="50" t="s">
        <v>20</v>
      </c>
      <c r="F14" s="50" t="s">
        <v>21</v>
      </c>
      <c r="G14" s="51" t="s">
        <v>17</v>
      </c>
      <c r="H14" s="51" t="s">
        <v>7</v>
      </c>
    </row>
    <row r="15" spans="2:8" ht="12.75" customHeight="1">
      <c r="B15" s="3"/>
      <c r="C15" s="3"/>
      <c r="D15" s="3"/>
      <c r="E15" s="3"/>
      <c r="F15" s="3"/>
      <c r="G15" s="3"/>
      <c r="H15" s="8"/>
    </row>
    <row r="16" spans="1:8" ht="12.75" customHeight="1">
      <c r="A16" s="6" t="s">
        <v>42</v>
      </c>
      <c r="B16" s="74">
        <v>421</v>
      </c>
      <c r="C16" s="74">
        <f>2436+354</f>
        <v>2790</v>
      </c>
      <c r="D16" s="74">
        <f>C16+B16</f>
        <v>3211</v>
      </c>
      <c r="E16" s="74">
        <v>606</v>
      </c>
      <c r="F16" s="74">
        <v>0</v>
      </c>
      <c r="G16" s="74">
        <f>F16+E16</f>
        <v>606</v>
      </c>
      <c r="H16" s="75">
        <f>G16+D16</f>
        <v>3817</v>
      </c>
    </row>
    <row r="17" spans="1:8" ht="12.75" customHeight="1">
      <c r="A17" s="6" t="s">
        <v>44</v>
      </c>
      <c r="B17" s="74">
        <v>491</v>
      </c>
      <c r="C17" s="74">
        <v>2766</v>
      </c>
      <c r="D17" s="74">
        <f>C17+B17</f>
        <v>3257</v>
      </c>
      <c r="E17" s="74">
        <v>395</v>
      </c>
      <c r="F17" s="74">
        <v>0</v>
      </c>
      <c r="G17" s="74">
        <f>F17+E17</f>
        <v>395</v>
      </c>
      <c r="H17" s="75">
        <f>G17+D17</f>
        <v>3652</v>
      </c>
    </row>
    <row r="18" spans="1:8" ht="12.75" customHeight="1">
      <c r="A18" s="6" t="s">
        <v>48</v>
      </c>
      <c r="B18" s="74">
        <v>365</v>
      </c>
      <c r="C18" s="74">
        <f>2234+438</f>
        <v>2672</v>
      </c>
      <c r="D18" s="74">
        <f>C18+B18</f>
        <v>3037</v>
      </c>
      <c r="E18" s="74">
        <v>368</v>
      </c>
      <c r="F18" s="74">
        <v>0</v>
      </c>
      <c r="G18" s="74">
        <f>F18+E18</f>
        <v>368</v>
      </c>
      <c r="H18" s="75">
        <f>G18+D18</f>
        <v>3405</v>
      </c>
    </row>
    <row r="19" spans="1:8" ht="12.75" customHeight="1">
      <c r="A19" s="15" t="s">
        <v>50</v>
      </c>
      <c r="B19" s="74">
        <f>117+150</f>
        <v>267</v>
      </c>
      <c r="C19" s="74">
        <f>336+1454+953+414</f>
        <v>3157</v>
      </c>
      <c r="D19" s="74">
        <f>C19+B19</f>
        <v>3424</v>
      </c>
      <c r="E19" s="74">
        <f>82+186+126</f>
        <v>394</v>
      </c>
      <c r="F19" s="74">
        <v>0</v>
      </c>
      <c r="G19" s="74">
        <f>F19+E19</f>
        <v>394</v>
      </c>
      <c r="H19" s="75">
        <f>G19+D19</f>
        <v>3818</v>
      </c>
    </row>
    <row r="20" spans="1:8" ht="12.75" customHeight="1">
      <c r="A20" s="15" t="s">
        <v>57</v>
      </c>
      <c r="B20" s="74">
        <f>168+156</f>
        <v>324</v>
      </c>
      <c r="C20" s="74">
        <f>228+1070+252+962+357</f>
        <v>2869</v>
      </c>
      <c r="D20" s="74">
        <f>C20+B20</f>
        <v>3193</v>
      </c>
      <c r="E20" s="74">
        <f>48+113+110</f>
        <v>271</v>
      </c>
      <c r="F20" s="74">
        <v>0</v>
      </c>
      <c r="G20" s="74">
        <f>F20+E20</f>
        <v>271</v>
      </c>
      <c r="H20" s="75">
        <f>G20+D20</f>
        <v>3464</v>
      </c>
    </row>
    <row r="21" spans="1:8" ht="12.75" customHeight="1">
      <c r="A21" s="36"/>
      <c r="B21" s="9"/>
      <c r="C21" s="9"/>
      <c r="D21" s="9"/>
      <c r="E21" s="9"/>
      <c r="F21" s="9"/>
      <c r="G21" s="9"/>
      <c r="H21" s="11"/>
    </row>
    <row r="22" spans="6:8" ht="12.75" customHeight="1">
      <c r="F22"/>
      <c r="G22"/>
      <c r="H22"/>
    </row>
    <row r="23" spans="1:8" s="38" customFormat="1" ht="12.75" customHeight="1">
      <c r="A23" s="39" t="s">
        <v>55</v>
      </c>
      <c r="B23" s="48" t="s">
        <v>13</v>
      </c>
      <c r="C23" s="48" t="s">
        <v>13</v>
      </c>
      <c r="D23" s="48" t="s">
        <v>7</v>
      </c>
      <c r="E23" s="48" t="s">
        <v>17</v>
      </c>
      <c r="F23" s="48" t="s">
        <v>22</v>
      </c>
      <c r="G23" s="48" t="s">
        <v>23</v>
      </c>
      <c r="H23" s="49" t="s">
        <v>8</v>
      </c>
    </row>
    <row r="24" spans="2:8" s="38" customFormat="1" ht="12.75" customHeight="1">
      <c r="B24" s="50" t="s">
        <v>18</v>
      </c>
      <c r="C24" s="50" t="s">
        <v>19</v>
      </c>
      <c r="D24" s="50" t="s">
        <v>13</v>
      </c>
      <c r="E24" s="50" t="s">
        <v>20</v>
      </c>
      <c r="F24" s="50" t="s">
        <v>21</v>
      </c>
      <c r="G24" s="50" t="s">
        <v>17</v>
      </c>
      <c r="H24" s="51" t="s">
        <v>7</v>
      </c>
    </row>
    <row r="25" spans="2:8" ht="12.75" customHeight="1">
      <c r="B25" s="12"/>
      <c r="C25" s="12"/>
      <c r="D25" s="12"/>
      <c r="E25" s="12"/>
      <c r="F25" s="12"/>
      <c r="G25" s="12"/>
      <c r="H25" s="14"/>
    </row>
    <row r="26" spans="1:8" ht="12.75" customHeight="1">
      <c r="A26" s="6" t="s">
        <v>42</v>
      </c>
      <c r="B26" s="24">
        <f>B16*0.88</f>
        <v>370.48</v>
      </c>
      <c r="C26" s="24">
        <f>C16*1.2</f>
        <v>3348</v>
      </c>
      <c r="D26" s="24">
        <f>C26+B26</f>
        <v>3718.48</v>
      </c>
      <c r="E26" s="24">
        <f>E16*2.3</f>
        <v>1393.8</v>
      </c>
      <c r="F26" s="24">
        <v>0</v>
      </c>
      <c r="G26" s="24">
        <f>F26+E26</f>
        <v>1393.8</v>
      </c>
      <c r="H26" s="25">
        <f>G26+D26</f>
        <v>5112.28</v>
      </c>
    </row>
    <row r="27" spans="1:8" ht="12.75" customHeight="1">
      <c r="A27" s="6" t="s">
        <v>44</v>
      </c>
      <c r="B27" s="24">
        <f>B17*0.88</f>
        <v>432.08</v>
      </c>
      <c r="C27" s="24">
        <f>C17*1.2</f>
        <v>3319.2</v>
      </c>
      <c r="D27" s="24">
        <f>C27+B27</f>
        <v>3751.2799999999997</v>
      </c>
      <c r="E27" s="24">
        <f>E17*2.3</f>
        <v>908.4999999999999</v>
      </c>
      <c r="F27" s="24">
        <v>0</v>
      </c>
      <c r="G27" s="24">
        <f>F27+E27</f>
        <v>908.4999999999999</v>
      </c>
      <c r="H27" s="25">
        <f>G27+D27</f>
        <v>4659.78</v>
      </c>
    </row>
    <row r="28" spans="1:8" ht="12.75" customHeight="1">
      <c r="A28" s="6" t="s">
        <v>48</v>
      </c>
      <c r="B28" s="24">
        <f>B18*0.88</f>
        <v>321.2</v>
      </c>
      <c r="C28" s="24">
        <f>C18*1.2</f>
        <v>3206.4</v>
      </c>
      <c r="D28" s="24">
        <f>C28+B28</f>
        <v>3527.6</v>
      </c>
      <c r="E28" s="24">
        <f>E18*2.3</f>
        <v>846.4</v>
      </c>
      <c r="F28" s="24">
        <v>0</v>
      </c>
      <c r="G28" s="24">
        <f>F28+E28</f>
        <v>846.4</v>
      </c>
      <c r="H28" s="25">
        <f>G28+D28</f>
        <v>4374</v>
      </c>
    </row>
    <row r="29" spans="1:8" ht="12.75" customHeight="1">
      <c r="A29" s="15" t="s">
        <v>50</v>
      </c>
      <c r="B29" s="24">
        <f>B19*0.88</f>
        <v>234.96</v>
      </c>
      <c r="C29" s="24">
        <f>C19*1.2</f>
        <v>3788.3999999999996</v>
      </c>
      <c r="D29" s="24">
        <f>C29+B29</f>
        <v>4023.3599999999997</v>
      </c>
      <c r="E29" s="24">
        <f>E19*2.3</f>
        <v>906.1999999999999</v>
      </c>
      <c r="F29" s="24">
        <v>0</v>
      </c>
      <c r="G29" s="24">
        <f>F29+E29</f>
        <v>906.1999999999999</v>
      </c>
      <c r="H29" s="25">
        <f>G29+D29</f>
        <v>4929.5599999999995</v>
      </c>
    </row>
    <row r="30" spans="1:8" ht="12.75" customHeight="1">
      <c r="A30" s="15" t="s">
        <v>57</v>
      </c>
      <c r="B30" s="24">
        <f>B20*0.88</f>
        <v>285.12</v>
      </c>
      <c r="C30" s="24">
        <f>C20*1.2</f>
        <v>3442.7999999999997</v>
      </c>
      <c r="D30" s="24">
        <f>C30+B30</f>
        <v>3727.9199999999996</v>
      </c>
      <c r="E30" s="24">
        <f>E20*2.3</f>
        <v>623.3</v>
      </c>
      <c r="F30" s="24">
        <v>0</v>
      </c>
      <c r="G30" s="24">
        <f>F30+E30</f>
        <v>623.3</v>
      </c>
      <c r="H30" s="25">
        <f>G30+D30</f>
        <v>4351.219999999999</v>
      </c>
    </row>
    <row r="31" spans="1:8" ht="12.75" customHeight="1">
      <c r="A31" s="36"/>
      <c r="B31" s="9"/>
      <c r="C31" s="9"/>
      <c r="D31" s="9"/>
      <c r="E31" s="9"/>
      <c r="F31" s="9"/>
      <c r="G31" s="9"/>
      <c r="H31" s="11"/>
    </row>
    <row r="33" ht="12.75" customHeight="1">
      <c r="A33" s="95" t="s">
        <v>58</v>
      </c>
    </row>
    <row r="42" spans="1:13" s="16" customFormat="1" ht="12.75" customHeight="1">
      <c r="A42" s="3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68" spans="1:13" s="16" customFormat="1" ht="12.75" customHeight="1">
      <c r="A68" s="35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79" spans="1:13" s="16" customFormat="1" ht="12.75" customHeight="1">
      <c r="A79" s="35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8" spans="1:13" s="16" customFormat="1" ht="12.75" customHeight="1">
      <c r="A88" s="35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141" spans="1:13" s="16" customFormat="1" ht="12.75" customHeight="1">
      <c r="A141" s="35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52" spans="1:13" s="16" customFormat="1" ht="12.75" customHeight="1">
      <c r="A152" s="35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85" spans="1:13" s="16" customFormat="1" ht="12.75" customHeight="1">
      <c r="A185" s="35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288" spans="1:13" s="16" customFormat="1" ht="12.75" customHeight="1">
      <c r="A288" s="35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322" spans="1:13" s="16" customFormat="1" ht="12.75" customHeight="1">
      <c r="A322" s="35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33" spans="1:13" s="16" customFormat="1" ht="12.75" customHeight="1">
      <c r="A333" s="35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42" spans="1:13" s="16" customFormat="1" ht="12.75" customHeight="1">
      <c r="A342" s="35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76" spans="1:13" s="16" customFormat="1" ht="12.75" customHeight="1">
      <c r="A376" s="35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409" spans="1:13" s="16" customFormat="1" ht="12.75" customHeight="1">
      <c r="A409" s="35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43" spans="1:13" s="16" customFormat="1" ht="12.75" customHeight="1">
      <c r="A443" s="35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</row>
    <row r="476" spans="1:13" s="16" customFormat="1" ht="12.75" customHeight="1">
      <c r="A476" s="35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</row>
    <row r="531" spans="1:13" s="16" customFormat="1" ht="12.75" customHeight="1">
      <c r="A531" s="35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</row>
    <row r="563" spans="1:13" s="16" customFormat="1" ht="12.75" customHeight="1">
      <c r="A563" s="35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</row>
    <row r="574" spans="1:13" s="16" customFormat="1" ht="12.75" customHeight="1">
      <c r="A574" s="35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</row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7" spans="1:13" s="16" customFormat="1" ht="12.75" customHeight="1">
      <c r="A607" s="35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</row>
    <row r="619" spans="1:13" s="16" customFormat="1" ht="12.75" customHeight="1">
      <c r="A619" s="35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</row>
    <row r="628" spans="1:13" s="16" customFormat="1" ht="12.75" customHeight="1">
      <c r="A628" s="35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</row>
  </sheetData>
  <printOptions horizontalCentered="1"/>
  <pageMargins left="0.25" right="0.25" top="1" bottom="0.75" header="0.5" footer="0.25"/>
  <pageSetup fitToHeight="1" fitToWidth="1" horizontalDpi="300" verticalDpi="300" orientation="landscape" r:id="rId3"/>
  <headerFooter alignWithMargins="0">
    <oddHeader>&amp;CThe University of Alabama in Huntsville
Unit Academic Reports 
</oddHeader>
    <oddFooter xml:space="preserve">&amp;L&amp;8Office of Institutional Research
&amp;D (ly)
&amp;F 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R556"/>
  <sheetViews>
    <sheetView workbookViewId="0" topLeftCell="A1">
      <selection activeCell="N20" sqref="N20"/>
    </sheetView>
  </sheetViews>
  <sheetFormatPr defaultColWidth="9.140625" defaultRowHeight="12.75" customHeight="1"/>
  <cols>
    <col min="1" max="1" width="20.7109375" style="2" customWidth="1"/>
    <col min="2" max="17" width="7.28125" style="2" customWidth="1"/>
    <col min="18" max="16384" width="9.140625" style="2" customWidth="1"/>
  </cols>
  <sheetData>
    <row r="1" spans="1:18" ht="12.75" customHeight="1">
      <c r="A1" s="1" t="s">
        <v>26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10.5" customHeight="1">
      <c r="A2" s="1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ht="12.75" customHeight="1">
      <c r="A3"/>
      <c r="B3" s="45" t="s">
        <v>1</v>
      </c>
      <c r="C3" s="46"/>
      <c r="D3" s="45" t="s">
        <v>2</v>
      </c>
      <c r="E3" s="46"/>
      <c r="F3" s="45" t="s">
        <v>3</v>
      </c>
      <c r="G3" s="46"/>
      <c r="H3" s="45" t="s">
        <v>4</v>
      </c>
      <c r="I3" s="46"/>
      <c r="J3" s="45" t="s">
        <v>5</v>
      </c>
      <c r="K3" s="46"/>
      <c r="L3" s="118" t="s">
        <v>6</v>
      </c>
      <c r="M3" s="119"/>
      <c r="N3" s="105" t="s">
        <v>45</v>
      </c>
      <c r="O3" s="105"/>
      <c r="P3" s="45" t="s">
        <v>7</v>
      </c>
      <c r="Q3" s="46"/>
      <c r="R3" s="41" t="s">
        <v>8</v>
      </c>
    </row>
    <row r="4" spans="1:18" ht="12.75" customHeight="1">
      <c r="A4" s="6" t="s">
        <v>61</v>
      </c>
      <c r="B4" s="42" t="s">
        <v>9</v>
      </c>
      <c r="C4" s="43" t="s">
        <v>10</v>
      </c>
      <c r="D4" s="42" t="s">
        <v>9</v>
      </c>
      <c r="E4" s="43" t="s">
        <v>10</v>
      </c>
      <c r="F4" s="42" t="s">
        <v>9</v>
      </c>
      <c r="G4" s="43" t="s">
        <v>10</v>
      </c>
      <c r="H4" s="42" t="s">
        <v>9</v>
      </c>
      <c r="I4" s="43" t="s">
        <v>10</v>
      </c>
      <c r="J4" s="42" t="s">
        <v>9</v>
      </c>
      <c r="K4" s="43" t="s">
        <v>10</v>
      </c>
      <c r="L4" s="42" t="s">
        <v>9</v>
      </c>
      <c r="M4" s="43" t="s">
        <v>10</v>
      </c>
      <c r="N4" s="42" t="s">
        <v>9</v>
      </c>
      <c r="O4" s="43" t="s">
        <v>10</v>
      </c>
      <c r="P4" s="42" t="s">
        <v>9</v>
      </c>
      <c r="Q4" s="43" t="s">
        <v>10</v>
      </c>
      <c r="R4" s="44" t="s">
        <v>7</v>
      </c>
    </row>
    <row r="5" spans="1:18" ht="10.5" customHeight="1">
      <c r="A5"/>
      <c r="B5" s="3"/>
      <c r="C5" s="4"/>
      <c r="D5" s="3"/>
      <c r="E5" s="4"/>
      <c r="F5" s="3"/>
      <c r="G5" s="4"/>
      <c r="H5" s="3"/>
      <c r="I5" s="4"/>
      <c r="J5" s="3"/>
      <c r="K5" s="4"/>
      <c r="L5" s="3"/>
      <c r="M5" s="4"/>
      <c r="N5" s="106"/>
      <c r="O5" s="106"/>
      <c r="P5" s="3"/>
      <c r="Q5" s="4"/>
      <c r="R5" s="8"/>
    </row>
    <row r="6" spans="1:18" ht="12.75" customHeight="1">
      <c r="A6" s="15" t="s">
        <v>42</v>
      </c>
      <c r="B6" s="60">
        <v>2</v>
      </c>
      <c r="C6" s="61">
        <v>14</v>
      </c>
      <c r="D6" s="60">
        <v>0</v>
      </c>
      <c r="E6" s="61">
        <v>3</v>
      </c>
      <c r="F6" s="60">
        <v>0</v>
      </c>
      <c r="G6" s="61">
        <v>0</v>
      </c>
      <c r="H6" s="60">
        <v>0</v>
      </c>
      <c r="I6" s="61">
        <v>0</v>
      </c>
      <c r="J6" s="60">
        <v>0</v>
      </c>
      <c r="K6" s="61">
        <v>0</v>
      </c>
      <c r="L6" s="60">
        <v>0</v>
      </c>
      <c r="M6" s="82">
        <v>0</v>
      </c>
      <c r="N6" s="60">
        <v>0</v>
      </c>
      <c r="O6" s="82">
        <v>0</v>
      </c>
      <c r="P6" s="60">
        <f aca="true" t="shared" si="0" ref="P6:Q10">L6+J6+H6+F6+D6+B6</f>
        <v>2</v>
      </c>
      <c r="Q6" s="61">
        <f t="shared" si="0"/>
        <v>17</v>
      </c>
      <c r="R6" s="62">
        <f>Q6+P6</f>
        <v>19</v>
      </c>
    </row>
    <row r="7" spans="1:18" ht="12.75" customHeight="1">
      <c r="A7" s="15" t="s">
        <v>44</v>
      </c>
      <c r="B7" s="60">
        <v>2</v>
      </c>
      <c r="C7" s="61">
        <v>10</v>
      </c>
      <c r="D7" s="60">
        <v>0</v>
      </c>
      <c r="E7" s="61">
        <v>1</v>
      </c>
      <c r="F7" s="60">
        <v>0</v>
      </c>
      <c r="G7" s="61">
        <v>1</v>
      </c>
      <c r="H7" s="60">
        <v>0</v>
      </c>
      <c r="I7" s="61">
        <v>0</v>
      </c>
      <c r="J7" s="60">
        <v>0</v>
      </c>
      <c r="K7" s="61">
        <v>0</v>
      </c>
      <c r="L7" s="60">
        <v>0</v>
      </c>
      <c r="M7" s="82">
        <v>0</v>
      </c>
      <c r="N7" s="60">
        <v>0</v>
      </c>
      <c r="O7" s="82">
        <v>0</v>
      </c>
      <c r="P7" s="60">
        <f t="shared" si="0"/>
        <v>2</v>
      </c>
      <c r="Q7" s="61">
        <f t="shared" si="0"/>
        <v>12</v>
      </c>
      <c r="R7" s="62">
        <f>Q7+P7</f>
        <v>14</v>
      </c>
    </row>
    <row r="8" spans="1:18" ht="12.75" customHeight="1">
      <c r="A8" s="15" t="s">
        <v>48</v>
      </c>
      <c r="B8" s="60">
        <v>4</v>
      </c>
      <c r="C8" s="61">
        <v>9</v>
      </c>
      <c r="D8" s="60">
        <v>0</v>
      </c>
      <c r="E8" s="61">
        <v>1</v>
      </c>
      <c r="F8" s="60">
        <v>0</v>
      </c>
      <c r="G8" s="61">
        <v>1</v>
      </c>
      <c r="H8" s="60">
        <v>0</v>
      </c>
      <c r="I8" s="61">
        <v>0</v>
      </c>
      <c r="J8" s="60">
        <v>0</v>
      </c>
      <c r="K8" s="61">
        <v>1</v>
      </c>
      <c r="L8" s="60">
        <v>0</v>
      </c>
      <c r="M8" s="82">
        <v>0</v>
      </c>
      <c r="N8" s="60">
        <v>0</v>
      </c>
      <c r="O8" s="82">
        <v>0</v>
      </c>
      <c r="P8" s="60">
        <f t="shared" si="0"/>
        <v>4</v>
      </c>
      <c r="Q8" s="61">
        <f t="shared" si="0"/>
        <v>12</v>
      </c>
      <c r="R8" s="62">
        <f>Q8+P8</f>
        <v>16</v>
      </c>
    </row>
    <row r="9" spans="1:18" ht="12.75" customHeight="1">
      <c r="A9" s="15" t="s">
        <v>50</v>
      </c>
      <c r="B9" s="60">
        <v>10</v>
      </c>
      <c r="C9" s="61">
        <v>11</v>
      </c>
      <c r="D9" s="60">
        <v>0</v>
      </c>
      <c r="E9" s="61">
        <v>1</v>
      </c>
      <c r="F9" s="60">
        <v>0</v>
      </c>
      <c r="G9" s="61">
        <v>0</v>
      </c>
      <c r="H9" s="60">
        <v>0</v>
      </c>
      <c r="I9" s="61">
        <v>1</v>
      </c>
      <c r="J9" s="60">
        <v>0</v>
      </c>
      <c r="K9" s="61">
        <v>0</v>
      </c>
      <c r="L9" s="60">
        <v>0</v>
      </c>
      <c r="M9" s="82">
        <v>0</v>
      </c>
      <c r="N9" s="60">
        <v>0</v>
      </c>
      <c r="O9" s="82">
        <v>0</v>
      </c>
      <c r="P9" s="60">
        <f t="shared" si="0"/>
        <v>10</v>
      </c>
      <c r="Q9" s="61">
        <f t="shared" si="0"/>
        <v>13</v>
      </c>
      <c r="R9" s="62">
        <f>Q9+P9</f>
        <v>23</v>
      </c>
    </row>
    <row r="10" spans="1:18" ht="12.75" customHeight="1">
      <c r="A10" s="15" t="s">
        <v>57</v>
      </c>
      <c r="B10" s="60">
        <v>3</v>
      </c>
      <c r="C10" s="61">
        <v>11</v>
      </c>
      <c r="D10" s="60">
        <v>0</v>
      </c>
      <c r="E10" s="61">
        <v>0</v>
      </c>
      <c r="F10" s="60">
        <v>0</v>
      </c>
      <c r="G10" s="61">
        <v>0</v>
      </c>
      <c r="H10" s="60">
        <v>0</v>
      </c>
      <c r="I10" s="61">
        <v>0</v>
      </c>
      <c r="J10" s="60">
        <v>0</v>
      </c>
      <c r="K10" s="61">
        <v>0</v>
      </c>
      <c r="L10" s="60">
        <v>3</v>
      </c>
      <c r="M10" s="82">
        <v>2</v>
      </c>
      <c r="N10" s="60">
        <v>0</v>
      </c>
      <c r="O10" s="82">
        <v>0</v>
      </c>
      <c r="P10" s="60">
        <f t="shared" si="0"/>
        <v>6</v>
      </c>
      <c r="Q10" s="61">
        <f t="shared" si="0"/>
        <v>13</v>
      </c>
      <c r="R10" s="62">
        <f>Q10+P10</f>
        <v>19</v>
      </c>
    </row>
    <row r="11" spans="2:18" ht="10.5" customHeight="1">
      <c r="B11" s="9"/>
      <c r="C11" s="10"/>
      <c r="D11" s="9"/>
      <c r="E11" s="10"/>
      <c r="F11" s="9"/>
      <c r="G11" s="10"/>
      <c r="H11" s="9"/>
      <c r="I11" s="10"/>
      <c r="J11" s="9"/>
      <c r="K11" s="10"/>
      <c r="L11" s="9"/>
      <c r="M11" s="20"/>
      <c r="N11" s="9"/>
      <c r="O11" s="20"/>
      <c r="P11" s="9"/>
      <c r="Q11" s="10"/>
      <c r="R11" s="11"/>
    </row>
    <row r="12" spans="1:18" ht="10.5" customHeight="1">
      <c r="A12" s="17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ht="12.75" customHeight="1">
      <c r="A13"/>
      <c r="B13" s="45" t="s">
        <v>1</v>
      </c>
      <c r="C13" s="46"/>
      <c r="D13" s="45" t="s">
        <v>2</v>
      </c>
      <c r="E13" s="46"/>
      <c r="F13" s="45" t="s">
        <v>3</v>
      </c>
      <c r="G13" s="46"/>
      <c r="H13" s="45" t="s">
        <v>4</v>
      </c>
      <c r="I13" s="46"/>
      <c r="J13" s="45" t="s">
        <v>5</v>
      </c>
      <c r="K13" s="46"/>
      <c r="L13" s="118" t="s">
        <v>6</v>
      </c>
      <c r="M13" s="119"/>
      <c r="N13" s="105" t="s">
        <v>45</v>
      </c>
      <c r="O13" s="105"/>
      <c r="P13" s="45" t="s">
        <v>7</v>
      </c>
      <c r="Q13" s="46"/>
      <c r="R13" s="41" t="s">
        <v>8</v>
      </c>
    </row>
    <row r="14" spans="1:18" ht="12.75" customHeight="1">
      <c r="A14" s="6" t="s">
        <v>62</v>
      </c>
      <c r="B14" s="42" t="s">
        <v>9</v>
      </c>
      <c r="C14" s="43" t="s">
        <v>10</v>
      </c>
      <c r="D14" s="42" t="s">
        <v>9</v>
      </c>
      <c r="E14" s="43" t="s">
        <v>10</v>
      </c>
      <c r="F14" s="42" t="s">
        <v>9</v>
      </c>
      <c r="G14" s="43" t="s">
        <v>10</v>
      </c>
      <c r="H14" s="42" t="s">
        <v>9</v>
      </c>
      <c r="I14" s="43" t="s">
        <v>10</v>
      </c>
      <c r="J14" s="42" t="s">
        <v>9</v>
      </c>
      <c r="K14" s="43" t="s">
        <v>10</v>
      </c>
      <c r="L14" s="42" t="s">
        <v>9</v>
      </c>
      <c r="M14" s="43" t="s">
        <v>10</v>
      </c>
      <c r="N14" s="42" t="s">
        <v>9</v>
      </c>
      <c r="O14" s="43" t="s">
        <v>10</v>
      </c>
      <c r="P14" s="42" t="s">
        <v>9</v>
      </c>
      <c r="Q14" s="43" t="s">
        <v>10</v>
      </c>
      <c r="R14" s="44" t="s">
        <v>7</v>
      </c>
    </row>
    <row r="15" spans="1:18" ht="10.5" customHeight="1">
      <c r="A15"/>
      <c r="B15" s="3"/>
      <c r="C15" s="4"/>
      <c r="D15" s="3"/>
      <c r="E15" s="4"/>
      <c r="F15" s="3"/>
      <c r="G15" s="4"/>
      <c r="H15" s="3"/>
      <c r="I15" s="4"/>
      <c r="J15" s="3"/>
      <c r="K15" s="4"/>
      <c r="L15" s="3"/>
      <c r="M15" s="4"/>
      <c r="N15" s="106"/>
      <c r="O15" s="106"/>
      <c r="P15" s="3"/>
      <c r="Q15" s="4"/>
      <c r="R15" s="8"/>
    </row>
    <row r="16" spans="1:18" ht="12.75" customHeight="1">
      <c r="A16" s="15" t="s">
        <v>42</v>
      </c>
      <c r="B16" s="60">
        <v>1</v>
      </c>
      <c r="C16" s="61">
        <v>10</v>
      </c>
      <c r="D16" s="60">
        <v>2</v>
      </c>
      <c r="E16" s="61">
        <v>3</v>
      </c>
      <c r="F16" s="60">
        <v>0</v>
      </c>
      <c r="G16" s="61">
        <v>1</v>
      </c>
      <c r="H16" s="60">
        <v>0</v>
      </c>
      <c r="I16" s="61">
        <v>1</v>
      </c>
      <c r="J16" s="60">
        <v>0</v>
      </c>
      <c r="K16" s="61">
        <v>0</v>
      </c>
      <c r="L16" s="60">
        <v>0</v>
      </c>
      <c r="M16" s="82">
        <v>1</v>
      </c>
      <c r="N16" s="60">
        <v>0</v>
      </c>
      <c r="O16" s="82">
        <v>0</v>
      </c>
      <c r="P16" s="60">
        <f aca="true" t="shared" si="1" ref="P16:Q20">L16+J16+H16+F16+D16+B16</f>
        <v>3</v>
      </c>
      <c r="Q16" s="61">
        <f t="shared" si="1"/>
        <v>16</v>
      </c>
      <c r="R16" s="62">
        <f>Q16+P16</f>
        <v>19</v>
      </c>
    </row>
    <row r="17" spans="1:18" ht="12.75" customHeight="1">
      <c r="A17" s="15" t="s">
        <v>44</v>
      </c>
      <c r="B17" s="60">
        <v>0</v>
      </c>
      <c r="C17" s="61">
        <v>15</v>
      </c>
      <c r="D17" s="60">
        <v>1</v>
      </c>
      <c r="E17" s="61">
        <v>0</v>
      </c>
      <c r="F17" s="60">
        <v>0</v>
      </c>
      <c r="G17" s="61">
        <v>1</v>
      </c>
      <c r="H17" s="60">
        <v>0</v>
      </c>
      <c r="I17" s="61">
        <v>0</v>
      </c>
      <c r="J17" s="60">
        <v>0</v>
      </c>
      <c r="K17" s="61">
        <v>1</v>
      </c>
      <c r="L17" s="60">
        <v>0</v>
      </c>
      <c r="M17" s="82">
        <v>0</v>
      </c>
      <c r="N17" s="60">
        <v>0</v>
      </c>
      <c r="O17" s="82">
        <v>0</v>
      </c>
      <c r="P17" s="60">
        <f t="shared" si="1"/>
        <v>1</v>
      </c>
      <c r="Q17" s="61">
        <f t="shared" si="1"/>
        <v>17</v>
      </c>
      <c r="R17" s="62">
        <f>Q17+P17</f>
        <v>18</v>
      </c>
    </row>
    <row r="18" spans="1:18" ht="12.75" customHeight="1">
      <c r="A18" s="15" t="s">
        <v>48</v>
      </c>
      <c r="B18" s="60">
        <v>2</v>
      </c>
      <c r="C18" s="61">
        <v>13</v>
      </c>
      <c r="D18" s="60">
        <v>0</v>
      </c>
      <c r="E18" s="61">
        <v>1</v>
      </c>
      <c r="F18" s="60">
        <v>0</v>
      </c>
      <c r="G18" s="61">
        <v>0</v>
      </c>
      <c r="H18" s="60">
        <v>0</v>
      </c>
      <c r="I18" s="61">
        <v>0</v>
      </c>
      <c r="J18" s="60">
        <v>0</v>
      </c>
      <c r="K18" s="61">
        <v>1</v>
      </c>
      <c r="L18" s="60">
        <v>0</v>
      </c>
      <c r="M18" s="82">
        <v>1</v>
      </c>
      <c r="N18" s="60">
        <v>0</v>
      </c>
      <c r="O18" s="82">
        <v>0</v>
      </c>
      <c r="P18" s="60">
        <f t="shared" si="1"/>
        <v>2</v>
      </c>
      <c r="Q18" s="61">
        <f t="shared" si="1"/>
        <v>16</v>
      </c>
      <c r="R18" s="62">
        <f>Q18+P18</f>
        <v>18</v>
      </c>
    </row>
    <row r="19" spans="1:18" ht="12.75" customHeight="1">
      <c r="A19" s="15" t="s">
        <v>50</v>
      </c>
      <c r="B19" s="60">
        <v>2</v>
      </c>
      <c r="C19" s="61">
        <v>16</v>
      </c>
      <c r="D19" s="60">
        <v>0</v>
      </c>
      <c r="E19" s="61">
        <v>4</v>
      </c>
      <c r="F19" s="60">
        <v>0</v>
      </c>
      <c r="G19" s="61">
        <v>0</v>
      </c>
      <c r="H19" s="60">
        <v>1</v>
      </c>
      <c r="I19" s="61">
        <v>0</v>
      </c>
      <c r="J19" s="60">
        <v>0</v>
      </c>
      <c r="K19" s="61">
        <v>0</v>
      </c>
      <c r="L19" s="60">
        <v>0</v>
      </c>
      <c r="M19" s="82">
        <v>0</v>
      </c>
      <c r="N19" s="60">
        <v>0</v>
      </c>
      <c r="O19" s="82">
        <v>0</v>
      </c>
      <c r="P19" s="60">
        <f t="shared" si="1"/>
        <v>3</v>
      </c>
      <c r="Q19" s="61">
        <f t="shared" si="1"/>
        <v>20</v>
      </c>
      <c r="R19" s="62">
        <f>Q19+P19</f>
        <v>23</v>
      </c>
    </row>
    <row r="20" spans="1:18" ht="12.75" customHeight="1">
      <c r="A20" s="15" t="s">
        <v>57</v>
      </c>
      <c r="B20" s="60">
        <v>1</v>
      </c>
      <c r="C20" s="61">
        <v>7</v>
      </c>
      <c r="D20" s="60">
        <v>0</v>
      </c>
      <c r="E20" s="61">
        <v>2</v>
      </c>
      <c r="F20" s="60">
        <v>0</v>
      </c>
      <c r="G20" s="61">
        <v>0</v>
      </c>
      <c r="H20" s="60">
        <v>0</v>
      </c>
      <c r="I20" s="61">
        <v>0</v>
      </c>
      <c r="J20" s="60">
        <v>0</v>
      </c>
      <c r="K20" s="61">
        <v>0</v>
      </c>
      <c r="L20" s="60">
        <v>0</v>
      </c>
      <c r="M20" s="82">
        <v>1</v>
      </c>
      <c r="N20" s="60">
        <v>0</v>
      </c>
      <c r="O20" s="82">
        <v>0</v>
      </c>
      <c r="P20" s="60">
        <f t="shared" si="1"/>
        <v>1</v>
      </c>
      <c r="Q20" s="61">
        <f t="shared" si="1"/>
        <v>10</v>
      </c>
      <c r="R20" s="62">
        <f>Q20+P20</f>
        <v>11</v>
      </c>
    </row>
    <row r="21" spans="2:18" ht="10.5" customHeight="1">
      <c r="B21" s="9"/>
      <c r="C21" s="10"/>
      <c r="D21" s="9"/>
      <c r="E21" s="10"/>
      <c r="F21" s="9"/>
      <c r="G21" s="10"/>
      <c r="H21" s="9"/>
      <c r="I21" s="10"/>
      <c r="J21" s="9"/>
      <c r="K21" s="10"/>
      <c r="L21" s="9"/>
      <c r="M21" s="20"/>
      <c r="N21" s="9"/>
      <c r="O21" s="20"/>
      <c r="P21" s="9"/>
      <c r="Q21" s="10"/>
      <c r="R21" s="11"/>
    </row>
    <row r="22" spans="2:18" ht="10.5" customHeight="1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1:18" ht="12.75" customHeight="1">
      <c r="A23" s="6" t="s">
        <v>13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1:18" ht="12.75" customHeight="1">
      <c r="A24" s="6" t="s">
        <v>11</v>
      </c>
      <c r="B24" s="45" t="s">
        <v>1</v>
      </c>
      <c r="C24" s="46"/>
      <c r="D24" s="45" t="s">
        <v>2</v>
      </c>
      <c r="E24" s="46"/>
      <c r="F24" s="45" t="s">
        <v>3</v>
      </c>
      <c r="G24" s="46"/>
      <c r="H24" s="45" t="s">
        <v>4</v>
      </c>
      <c r="I24" s="46"/>
      <c r="J24" s="45" t="s">
        <v>5</v>
      </c>
      <c r="K24" s="46"/>
      <c r="L24" s="118" t="s">
        <v>6</v>
      </c>
      <c r="M24" s="119"/>
      <c r="N24" s="105" t="s">
        <v>45</v>
      </c>
      <c r="O24" s="105"/>
      <c r="P24" s="45" t="s">
        <v>7</v>
      </c>
      <c r="Q24" s="46"/>
      <c r="R24" s="41" t="s">
        <v>8</v>
      </c>
    </row>
    <row r="25" spans="1:18" ht="12.75" customHeight="1">
      <c r="A25" s="6" t="s">
        <v>12</v>
      </c>
      <c r="B25" s="42" t="s">
        <v>9</v>
      </c>
      <c r="C25" s="43" t="s">
        <v>10</v>
      </c>
      <c r="D25" s="42" t="s">
        <v>9</v>
      </c>
      <c r="E25" s="43" t="s">
        <v>10</v>
      </c>
      <c r="F25" s="42" t="s">
        <v>9</v>
      </c>
      <c r="G25" s="43" t="s">
        <v>10</v>
      </c>
      <c r="H25" s="42" t="s">
        <v>9</v>
      </c>
      <c r="I25" s="43" t="s">
        <v>10</v>
      </c>
      <c r="J25" s="42" t="s">
        <v>9</v>
      </c>
      <c r="K25" s="43" t="s">
        <v>10</v>
      </c>
      <c r="L25" s="42" t="s">
        <v>9</v>
      </c>
      <c r="M25" s="43" t="s">
        <v>10</v>
      </c>
      <c r="N25" s="42" t="s">
        <v>9</v>
      </c>
      <c r="O25" s="43" t="s">
        <v>10</v>
      </c>
      <c r="P25" s="42" t="s">
        <v>9</v>
      </c>
      <c r="Q25" s="43" t="s">
        <v>10</v>
      </c>
      <c r="R25" s="44" t="s">
        <v>7</v>
      </c>
    </row>
    <row r="26" spans="1:18" ht="10.5" customHeight="1">
      <c r="A26" s="6"/>
      <c r="B26" s="12"/>
      <c r="C26" s="13"/>
      <c r="D26" s="12"/>
      <c r="E26" s="13"/>
      <c r="F26" s="12"/>
      <c r="G26" s="13"/>
      <c r="H26" s="12"/>
      <c r="I26" s="13"/>
      <c r="J26" s="12"/>
      <c r="K26" s="13"/>
      <c r="L26" s="12"/>
      <c r="M26" s="13"/>
      <c r="N26" s="23"/>
      <c r="O26" s="23"/>
      <c r="P26" s="12"/>
      <c r="Q26" s="13"/>
      <c r="R26" s="14"/>
    </row>
    <row r="27" spans="1:18" s="16" customFormat="1" ht="12.75" customHeight="1">
      <c r="A27" s="15" t="s">
        <v>42</v>
      </c>
      <c r="B27" s="60">
        <v>19</v>
      </c>
      <c r="C27" s="82">
        <v>53</v>
      </c>
      <c r="D27" s="60">
        <v>2</v>
      </c>
      <c r="E27" s="82">
        <v>8</v>
      </c>
      <c r="F27" s="60">
        <v>0</v>
      </c>
      <c r="G27" s="82">
        <v>2</v>
      </c>
      <c r="H27" s="60">
        <v>0</v>
      </c>
      <c r="I27" s="82">
        <v>0</v>
      </c>
      <c r="J27" s="60">
        <v>1</v>
      </c>
      <c r="K27" s="82">
        <v>2</v>
      </c>
      <c r="L27" s="60">
        <v>0</v>
      </c>
      <c r="M27" s="82">
        <v>0</v>
      </c>
      <c r="N27" s="60">
        <v>0</v>
      </c>
      <c r="O27" s="82">
        <v>0</v>
      </c>
      <c r="P27" s="60">
        <f aca="true" t="shared" si="2" ref="P27:Q29">L27+J27+H27+F27+D27+B27</f>
        <v>22</v>
      </c>
      <c r="Q27" s="82">
        <f t="shared" si="2"/>
        <v>65</v>
      </c>
      <c r="R27" s="62">
        <f>Q27+P27</f>
        <v>87</v>
      </c>
    </row>
    <row r="28" spans="1:18" s="16" customFormat="1" ht="12.75" customHeight="1">
      <c r="A28" s="15" t="s">
        <v>44</v>
      </c>
      <c r="B28" s="60">
        <v>26</v>
      </c>
      <c r="C28" s="82">
        <v>58</v>
      </c>
      <c r="D28" s="60">
        <v>2</v>
      </c>
      <c r="E28" s="82">
        <v>9</v>
      </c>
      <c r="F28" s="60">
        <v>0</v>
      </c>
      <c r="G28" s="82">
        <v>2</v>
      </c>
      <c r="H28" s="60">
        <v>0</v>
      </c>
      <c r="I28" s="82">
        <v>3</v>
      </c>
      <c r="J28" s="60">
        <v>0</v>
      </c>
      <c r="K28" s="82">
        <v>1</v>
      </c>
      <c r="L28" s="60">
        <v>0</v>
      </c>
      <c r="M28" s="82">
        <v>0</v>
      </c>
      <c r="N28" s="60">
        <v>0</v>
      </c>
      <c r="O28" s="82">
        <v>0</v>
      </c>
      <c r="P28" s="60">
        <f t="shared" si="2"/>
        <v>28</v>
      </c>
      <c r="Q28" s="82">
        <f t="shared" si="2"/>
        <v>73</v>
      </c>
      <c r="R28" s="62">
        <f>Q28+P28</f>
        <v>101</v>
      </c>
    </row>
    <row r="29" spans="1:18" s="16" customFormat="1" ht="12.75" customHeight="1">
      <c r="A29" s="15" t="s">
        <v>48</v>
      </c>
      <c r="B29" s="60">
        <v>39</v>
      </c>
      <c r="C29" s="82">
        <v>63</v>
      </c>
      <c r="D29" s="60">
        <v>2</v>
      </c>
      <c r="E29" s="82">
        <v>11</v>
      </c>
      <c r="F29" s="60">
        <v>0</v>
      </c>
      <c r="G29" s="82">
        <v>5</v>
      </c>
      <c r="H29" s="60">
        <v>0</v>
      </c>
      <c r="I29" s="82">
        <v>3</v>
      </c>
      <c r="J29" s="60">
        <v>0</v>
      </c>
      <c r="K29" s="82">
        <v>1</v>
      </c>
      <c r="L29" s="60">
        <v>0</v>
      </c>
      <c r="M29" s="82">
        <v>1</v>
      </c>
      <c r="N29" s="60">
        <v>0</v>
      </c>
      <c r="O29" s="82">
        <v>0</v>
      </c>
      <c r="P29" s="60">
        <f t="shared" si="2"/>
        <v>41</v>
      </c>
      <c r="Q29" s="82">
        <f t="shared" si="2"/>
        <v>84</v>
      </c>
      <c r="R29" s="62">
        <f>Q29+P29</f>
        <v>125</v>
      </c>
    </row>
    <row r="30" spans="1:18" s="16" customFormat="1" ht="12.75" customHeight="1">
      <c r="A30" s="15" t="s">
        <v>50</v>
      </c>
      <c r="B30" s="60">
        <v>36</v>
      </c>
      <c r="C30" s="82">
        <v>61</v>
      </c>
      <c r="D30" s="60">
        <v>2</v>
      </c>
      <c r="E30" s="82">
        <v>12</v>
      </c>
      <c r="F30" s="60">
        <v>0</v>
      </c>
      <c r="G30" s="82">
        <v>2</v>
      </c>
      <c r="H30" s="60">
        <v>0</v>
      </c>
      <c r="I30" s="82">
        <v>1</v>
      </c>
      <c r="J30" s="60">
        <v>1</v>
      </c>
      <c r="K30" s="82">
        <v>0</v>
      </c>
      <c r="L30" s="60">
        <v>1</v>
      </c>
      <c r="M30" s="82">
        <v>1</v>
      </c>
      <c r="N30" s="60">
        <v>0</v>
      </c>
      <c r="O30" s="82">
        <v>1</v>
      </c>
      <c r="P30" s="60">
        <f>L30+J30+H30+F30+D30+B30</f>
        <v>40</v>
      </c>
      <c r="Q30" s="82">
        <f>M30+K30+I30+G30+E30+C30+O30</f>
        <v>78</v>
      </c>
      <c r="R30" s="62">
        <f>Q30+P30</f>
        <v>118</v>
      </c>
    </row>
    <row r="31" spans="1:18" s="16" customFormat="1" ht="12.75" customHeight="1">
      <c r="A31" s="15" t="s">
        <v>57</v>
      </c>
      <c r="B31" s="60">
        <v>32</v>
      </c>
      <c r="C31" s="82">
        <v>67</v>
      </c>
      <c r="D31" s="60">
        <v>2</v>
      </c>
      <c r="E31" s="82">
        <v>13</v>
      </c>
      <c r="F31" s="60">
        <v>1</v>
      </c>
      <c r="G31" s="82">
        <v>3</v>
      </c>
      <c r="H31" s="60">
        <v>2</v>
      </c>
      <c r="I31" s="82">
        <v>0</v>
      </c>
      <c r="J31" s="60">
        <v>0</v>
      </c>
      <c r="K31" s="82">
        <v>1</v>
      </c>
      <c r="L31" s="60">
        <v>0</v>
      </c>
      <c r="M31" s="82">
        <v>0</v>
      </c>
      <c r="N31" s="60">
        <v>0</v>
      </c>
      <c r="O31" s="82">
        <v>1</v>
      </c>
      <c r="P31" s="60">
        <f>L31+J31+H31+F31+D31+B31</f>
        <v>37</v>
      </c>
      <c r="Q31" s="82">
        <f>M31+K31+I31+G31+E31+C31+O31</f>
        <v>85</v>
      </c>
      <c r="R31" s="62">
        <f>Q31+P31</f>
        <v>122</v>
      </c>
    </row>
    <row r="32" spans="1:18" ht="10.5" customHeight="1">
      <c r="A32" s="6"/>
      <c r="B32" s="9"/>
      <c r="C32" s="20"/>
      <c r="D32" s="9"/>
      <c r="E32" s="20"/>
      <c r="F32" s="9"/>
      <c r="G32" s="20"/>
      <c r="H32" s="9"/>
      <c r="I32" s="20"/>
      <c r="J32" s="9"/>
      <c r="K32" s="20"/>
      <c r="L32" s="9"/>
      <c r="M32" s="20"/>
      <c r="N32" s="9"/>
      <c r="O32" s="20"/>
      <c r="P32" s="9"/>
      <c r="Q32" s="20"/>
      <c r="R32" s="11"/>
    </row>
    <row r="33" spans="1:18" ht="10.5" customHeight="1">
      <c r="A33" s="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</row>
    <row r="34" spans="1:18" ht="12.75" customHeight="1">
      <c r="A34" s="6" t="s">
        <v>17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</row>
    <row r="35" spans="1:18" ht="12.75" customHeight="1">
      <c r="A35" s="6" t="s">
        <v>11</v>
      </c>
      <c r="B35" s="45" t="s">
        <v>1</v>
      </c>
      <c r="C35" s="46"/>
      <c r="D35" s="45" t="s">
        <v>2</v>
      </c>
      <c r="E35" s="46"/>
      <c r="F35" s="45" t="s">
        <v>3</v>
      </c>
      <c r="G35" s="46"/>
      <c r="H35" s="45" t="s">
        <v>4</v>
      </c>
      <c r="I35" s="46"/>
      <c r="J35" s="45" t="s">
        <v>5</v>
      </c>
      <c r="K35" s="46"/>
      <c r="L35" s="118" t="s">
        <v>6</v>
      </c>
      <c r="M35" s="119"/>
      <c r="N35" s="105" t="s">
        <v>45</v>
      </c>
      <c r="O35" s="105"/>
      <c r="P35" s="45" t="s">
        <v>7</v>
      </c>
      <c r="Q35" s="46"/>
      <c r="R35" s="41" t="s">
        <v>8</v>
      </c>
    </row>
    <row r="36" spans="1:18" ht="12.75" customHeight="1">
      <c r="A36" s="6" t="s">
        <v>12</v>
      </c>
      <c r="B36" s="42" t="s">
        <v>9</v>
      </c>
      <c r="C36" s="43" t="s">
        <v>10</v>
      </c>
      <c r="D36" s="42" t="s">
        <v>9</v>
      </c>
      <c r="E36" s="43" t="s">
        <v>10</v>
      </c>
      <c r="F36" s="42" t="s">
        <v>9</v>
      </c>
      <c r="G36" s="43" t="s">
        <v>10</v>
      </c>
      <c r="H36" s="42" t="s">
        <v>9</v>
      </c>
      <c r="I36" s="43" t="s">
        <v>10</v>
      </c>
      <c r="J36" s="42" t="s">
        <v>9</v>
      </c>
      <c r="K36" s="43" t="s">
        <v>10</v>
      </c>
      <c r="L36" s="42" t="s">
        <v>9</v>
      </c>
      <c r="M36" s="43" t="s">
        <v>10</v>
      </c>
      <c r="N36" s="42" t="s">
        <v>9</v>
      </c>
      <c r="O36" s="43" t="s">
        <v>10</v>
      </c>
      <c r="P36" s="42" t="s">
        <v>9</v>
      </c>
      <c r="Q36" s="43" t="s">
        <v>10</v>
      </c>
      <c r="R36" s="44" t="s">
        <v>7</v>
      </c>
    </row>
    <row r="37" spans="1:18" ht="10.5" customHeight="1">
      <c r="A37" s="6"/>
      <c r="B37" s="12"/>
      <c r="C37" s="13"/>
      <c r="D37" s="12"/>
      <c r="E37" s="13"/>
      <c r="F37" s="12"/>
      <c r="G37" s="13"/>
      <c r="H37" s="12"/>
      <c r="I37" s="13"/>
      <c r="J37" s="12"/>
      <c r="K37" s="13"/>
      <c r="L37" s="12"/>
      <c r="M37" s="23"/>
      <c r="N37" s="12"/>
      <c r="O37" s="23"/>
      <c r="P37" s="12"/>
      <c r="Q37" s="13"/>
      <c r="R37" s="14"/>
    </row>
    <row r="38" spans="1:18" s="16" customFormat="1" ht="12.75" customHeight="1">
      <c r="A38" s="15" t="s">
        <v>42</v>
      </c>
      <c r="B38" s="60">
        <v>5</v>
      </c>
      <c r="C38" s="82">
        <v>41</v>
      </c>
      <c r="D38" s="60">
        <v>3</v>
      </c>
      <c r="E38" s="82">
        <v>6</v>
      </c>
      <c r="F38" s="60">
        <v>0</v>
      </c>
      <c r="G38" s="82">
        <v>3</v>
      </c>
      <c r="H38" s="60">
        <v>0</v>
      </c>
      <c r="I38" s="82">
        <v>0</v>
      </c>
      <c r="J38" s="60">
        <v>0</v>
      </c>
      <c r="K38" s="82">
        <v>2</v>
      </c>
      <c r="L38" s="60">
        <v>0</v>
      </c>
      <c r="M38" s="82">
        <v>1</v>
      </c>
      <c r="N38" s="60">
        <v>0</v>
      </c>
      <c r="O38" s="82">
        <v>0</v>
      </c>
      <c r="P38" s="60">
        <f aca="true" t="shared" si="3" ref="P38:Q41">L38+J38+H38+F38+D38+B38</f>
        <v>8</v>
      </c>
      <c r="Q38" s="82">
        <f t="shared" si="3"/>
        <v>53</v>
      </c>
      <c r="R38" s="62">
        <f>Q38+P38</f>
        <v>61</v>
      </c>
    </row>
    <row r="39" spans="1:18" s="16" customFormat="1" ht="12.75" customHeight="1">
      <c r="A39" s="15" t="s">
        <v>44</v>
      </c>
      <c r="B39" s="60">
        <v>4</v>
      </c>
      <c r="C39" s="82">
        <v>46</v>
      </c>
      <c r="D39" s="60">
        <v>2</v>
      </c>
      <c r="E39" s="82">
        <v>6</v>
      </c>
      <c r="F39" s="60">
        <v>0</v>
      </c>
      <c r="G39" s="82">
        <v>1</v>
      </c>
      <c r="H39" s="60">
        <v>1</v>
      </c>
      <c r="I39" s="82">
        <v>0</v>
      </c>
      <c r="J39" s="60">
        <v>0</v>
      </c>
      <c r="K39" s="82">
        <v>3</v>
      </c>
      <c r="L39" s="60">
        <v>0</v>
      </c>
      <c r="M39" s="82">
        <v>1</v>
      </c>
      <c r="N39" s="60">
        <v>0</v>
      </c>
      <c r="O39" s="82">
        <v>0</v>
      </c>
      <c r="P39" s="60">
        <f t="shared" si="3"/>
        <v>7</v>
      </c>
      <c r="Q39" s="82">
        <f t="shared" si="3"/>
        <v>57</v>
      </c>
      <c r="R39" s="62">
        <f>Q39+P39</f>
        <v>64</v>
      </c>
    </row>
    <row r="40" spans="1:18" s="16" customFormat="1" ht="12.75" customHeight="1">
      <c r="A40" s="15" t="s">
        <v>48</v>
      </c>
      <c r="B40" s="60">
        <v>10</v>
      </c>
      <c r="C40" s="82">
        <v>40</v>
      </c>
      <c r="D40" s="60">
        <v>0</v>
      </c>
      <c r="E40" s="82">
        <v>7</v>
      </c>
      <c r="F40" s="60">
        <v>0</v>
      </c>
      <c r="G40" s="82">
        <v>1</v>
      </c>
      <c r="H40" s="60">
        <v>1</v>
      </c>
      <c r="I40" s="82">
        <v>0</v>
      </c>
      <c r="J40" s="60">
        <v>0</v>
      </c>
      <c r="K40" s="82">
        <v>0</v>
      </c>
      <c r="L40" s="60">
        <v>0</v>
      </c>
      <c r="M40" s="82">
        <v>0</v>
      </c>
      <c r="N40" s="60">
        <v>0</v>
      </c>
      <c r="O40" s="82">
        <v>0</v>
      </c>
      <c r="P40" s="60">
        <f t="shared" si="3"/>
        <v>11</v>
      </c>
      <c r="Q40" s="82">
        <f t="shared" si="3"/>
        <v>48</v>
      </c>
      <c r="R40" s="62">
        <f>Q40+P40</f>
        <v>59</v>
      </c>
    </row>
    <row r="41" spans="1:18" s="16" customFormat="1" ht="12.75" customHeight="1">
      <c r="A41" s="15" t="s">
        <v>50</v>
      </c>
      <c r="B41" s="60">
        <v>10</v>
      </c>
      <c r="C41" s="82">
        <v>42</v>
      </c>
      <c r="D41" s="60">
        <v>2</v>
      </c>
      <c r="E41" s="82">
        <v>8</v>
      </c>
      <c r="F41" s="60">
        <v>0</v>
      </c>
      <c r="G41" s="82">
        <v>1</v>
      </c>
      <c r="H41" s="60">
        <v>1</v>
      </c>
      <c r="I41" s="82">
        <v>0</v>
      </c>
      <c r="J41" s="60">
        <v>0</v>
      </c>
      <c r="K41" s="82">
        <v>0</v>
      </c>
      <c r="L41" s="60">
        <v>0</v>
      </c>
      <c r="M41" s="82">
        <v>1</v>
      </c>
      <c r="N41" s="60">
        <v>0</v>
      </c>
      <c r="O41" s="82">
        <v>0</v>
      </c>
      <c r="P41" s="60">
        <f t="shared" si="3"/>
        <v>13</v>
      </c>
      <c r="Q41" s="82">
        <f t="shared" si="3"/>
        <v>52</v>
      </c>
      <c r="R41" s="62">
        <f>Q41+P41</f>
        <v>65</v>
      </c>
    </row>
    <row r="42" spans="1:18" s="16" customFormat="1" ht="12.75" customHeight="1">
      <c r="A42" s="15" t="s">
        <v>57</v>
      </c>
      <c r="B42" s="60">
        <v>11</v>
      </c>
      <c r="C42" s="82">
        <v>35</v>
      </c>
      <c r="D42" s="60">
        <v>0</v>
      </c>
      <c r="E42" s="82">
        <v>4</v>
      </c>
      <c r="F42" s="60">
        <v>0</v>
      </c>
      <c r="G42" s="82">
        <v>0</v>
      </c>
      <c r="H42" s="60">
        <v>0</v>
      </c>
      <c r="I42" s="82">
        <v>0</v>
      </c>
      <c r="J42" s="60">
        <v>0</v>
      </c>
      <c r="K42" s="82">
        <v>0</v>
      </c>
      <c r="L42" s="60">
        <v>0</v>
      </c>
      <c r="M42" s="82">
        <v>1</v>
      </c>
      <c r="N42" s="60">
        <v>0</v>
      </c>
      <c r="O42" s="82">
        <v>1</v>
      </c>
      <c r="P42" s="60">
        <f>L42+J42+H42+F42+D42+B42+N42</f>
        <v>11</v>
      </c>
      <c r="Q42" s="82">
        <f>M42+K42+I42+G42+E42+C42+O42</f>
        <v>41</v>
      </c>
      <c r="R42" s="62">
        <f>Q42+P42</f>
        <v>52</v>
      </c>
    </row>
    <row r="43" spans="1:18" ht="10.5" customHeight="1">
      <c r="A43" s="6"/>
      <c r="B43" s="9"/>
      <c r="C43" s="20"/>
      <c r="D43" s="9"/>
      <c r="E43" s="20"/>
      <c r="F43" s="9"/>
      <c r="G43" s="20"/>
      <c r="H43" s="9"/>
      <c r="I43" s="20"/>
      <c r="J43" s="9"/>
      <c r="K43" s="20"/>
      <c r="L43" s="9"/>
      <c r="M43" s="20"/>
      <c r="N43" s="9"/>
      <c r="O43" s="20"/>
      <c r="P43" s="9"/>
      <c r="Q43" s="20"/>
      <c r="R43" s="11"/>
    </row>
    <row r="45" ht="12.75" customHeight="1">
      <c r="A45" s="35"/>
    </row>
    <row r="46" spans="1:15" ht="12.75" customHeight="1">
      <c r="A46" s="35"/>
      <c r="B46" s="35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</row>
    <row r="62" spans="1:18" s="16" customFormat="1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84" spans="1:18" s="16" customFormat="1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106" spans="1:18" s="16" customFormat="1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29" spans="1:18" s="16" customFormat="1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42" spans="1:18" s="16" customFormat="1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54" spans="1:18" s="16" customFormat="1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75" spans="1:18" s="16" customFormat="1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97" spans="1:18" s="16" customFormat="1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218" spans="1:18" s="16" customFormat="1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39" spans="1:18" s="16" customFormat="1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92" spans="1:18" s="16" customFormat="1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302" spans="1:18" s="16" customFormat="1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24" spans="1:18" s="16" customFormat="1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47" spans="1:18" s="16" customFormat="1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70" spans="1:18" s="16" customFormat="1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92" spans="1:18" s="16" customFormat="1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414" spans="1:18" s="16" customFormat="1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</row>
    <row r="446" spans="1:18" s="16" customFormat="1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</row>
    <row r="456" spans="1:18" s="16" customFormat="1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</row>
    <row r="478" spans="1:18" s="16" customFormat="1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</row>
    <row r="490" spans="1:18" s="16" customFormat="1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</row>
    <row r="501" spans="1:18" s="16" customFormat="1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</row>
    <row r="514" spans="1:18" s="16" customFormat="1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</row>
    <row r="546" spans="1:18" s="16" customFormat="1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</row>
    <row r="556" spans="1:18" s="16" customFormat="1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</row>
  </sheetData>
  <mergeCells count="4">
    <mergeCell ref="L3:M3"/>
    <mergeCell ref="L13:M13"/>
    <mergeCell ref="L24:M24"/>
    <mergeCell ref="L35:M35"/>
  </mergeCells>
  <printOptions horizontalCentered="1"/>
  <pageMargins left="0.25" right="0.25" top="1" bottom="0.75" header="0.5" footer="0.25"/>
  <pageSetup fitToHeight="1" fitToWidth="1" horizontalDpi="300" verticalDpi="300" orientation="landscape" scale="91" r:id="rId1"/>
  <headerFooter alignWithMargins="0">
    <oddHeader>&amp;CThe University of Alabama in Huntsville
Unit Academic Reports 
</oddHeader>
    <oddFooter xml:space="preserve">&amp;L&amp;8Office of Institutional Research
&amp;D (ly)
&amp;F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M559"/>
  <sheetViews>
    <sheetView workbookViewId="0" topLeftCell="A1">
      <selection activeCell="D20" sqref="D20"/>
    </sheetView>
  </sheetViews>
  <sheetFormatPr defaultColWidth="9.140625" defaultRowHeight="12.75" customHeight="1"/>
  <cols>
    <col min="1" max="1" width="22.7109375" style="35" customWidth="1"/>
    <col min="2" max="8" width="13.7109375" style="2" customWidth="1"/>
    <col min="9" max="16384" width="9.140625" style="2" customWidth="1"/>
  </cols>
  <sheetData>
    <row r="1" ht="12.75" customHeight="1">
      <c r="A1" s="1" t="s">
        <v>26</v>
      </c>
    </row>
    <row r="3" spans="1:8" ht="12.75" customHeight="1">
      <c r="A3" s="6" t="s">
        <v>13</v>
      </c>
      <c r="F3"/>
      <c r="G3"/>
      <c r="H3"/>
    </row>
    <row r="4" spans="1:4" s="38" customFormat="1" ht="12.75" customHeight="1">
      <c r="A4" s="39" t="s">
        <v>11</v>
      </c>
      <c r="B4" s="47" t="s">
        <v>16</v>
      </c>
      <c r="C4" s="47" t="s">
        <v>14</v>
      </c>
      <c r="D4" s="47" t="s">
        <v>15</v>
      </c>
    </row>
    <row r="5" spans="1:7" ht="12.75" customHeight="1">
      <c r="A5" s="36"/>
      <c r="B5" s="8"/>
      <c r="C5" s="8"/>
      <c r="D5" s="8"/>
      <c r="E5"/>
      <c r="F5"/>
      <c r="G5"/>
    </row>
    <row r="6" spans="1:7" ht="12.75" customHeight="1">
      <c r="A6" s="6" t="s">
        <v>42</v>
      </c>
      <c r="B6" s="14">
        <v>41</v>
      </c>
      <c r="C6" s="14">
        <f>'EH'!R27</f>
        <v>87</v>
      </c>
      <c r="D6" s="14">
        <v>76</v>
      </c>
      <c r="E6"/>
      <c r="F6"/>
      <c r="G6"/>
    </row>
    <row r="7" spans="1:7" ht="12.75" customHeight="1">
      <c r="A7" s="6" t="s">
        <v>44</v>
      </c>
      <c r="B7" s="14">
        <v>37</v>
      </c>
      <c r="C7" s="14">
        <f>'EH'!R28</f>
        <v>101</v>
      </c>
      <c r="D7" s="14">
        <v>98</v>
      </c>
      <c r="E7"/>
      <c r="F7"/>
      <c r="G7"/>
    </row>
    <row r="8" spans="1:7" ht="12.75" customHeight="1">
      <c r="A8" s="6" t="s">
        <v>48</v>
      </c>
      <c r="B8" s="14">
        <v>50</v>
      </c>
      <c r="C8" s="14">
        <f>'EH'!R29</f>
        <v>125</v>
      </c>
      <c r="D8" s="14">
        <v>115</v>
      </c>
      <c r="E8"/>
      <c r="F8"/>
      <c r="G8"/>
    </row>
    <row r="9" spans="1:7" ht="12.75" customHeight="1">
      <c r="A9" s="6" t="s">
        <v>50</v>
      </c>
      <c r="B9" s="14">
        <v>60</v>
      </c>
      <c r="C9" s="14">
        <f>'EH'!R30</f>
        <v>118</v>
      </c>
      <c r="D9" s="14">
        <v>107</v>
      </c>
      <c r="E9"/>
      <c r="F9"/>
      <c r="G9"/>
    </row>
    <row r="10" spans="1:7" ht="12.75" customHeight="1">
      <c r="A10" s="15" t="s">
        <v>57</v>
      </c>
      <c r="B10" s="14">
        <v>56</v>
      </c>
      <c r="C10" s="14">
        <f>'EH'!R31</f>
        <v>122</v>
      </c>
      <c r="D10" s="14">
        <v>116</v>
      </c>
      <c r="E10"/>
      <c r="F10"/>
      <c r="G10"/>
    </row>
    <row r="11" spans="1:7" ht="12.75" customHeight="1">
      <c r="A11" s="2"/>
      <c r="B11" s="11"/>
      <c r="C11" s="7"/>
      <c r="D11" s="7"/>
      <c r="E11"/>
      <c r="F11"/>
      <c r="G11"/>
    </row>
    <row r="12" spans="5:7" ht="12.75" customHeight="1">
      <c r="E12"/>
      <c r="F12"/>
      <c r="G12"/>
    </row>
    <row r="13" spans="1:7" ht="12.75" customHeight="1">
      <c r="A13" s="6" t="s">
        <v>17</v>
      </c>
      <c r="E13"/>
      <c r="F13"/>
      <c r="G13"/>
    </row>
    <row r="14" spans="1:4" s="38" customFormat="1" ht="12.75" customHeight="1">
      <c r="A14" s="39" t="s">
        <v>11</v>
      </c>
      <c r="B14" s="47" t="s">
        <v>16</v>
      </c>
      <c r="C14" s="47" t="s">
        <v>14</v>
      </c>
      <c r="D14" s="47" t="s">
        <v>15</v>
      </c>
    </row>
    <row r="15" spans="1:7" ht="12.75" customHeight="1">
      <c r="A15" s="36"/>
      <c r="B15" s="8"/>
      <c r="C15" s="8"/>
      <c r="D15" s="8"/>
      <c r="E15"/>
      <c r="F15"/>
      <c r="G15"/>
    </row>
    <row r="16" spans="1:7" ht="12.75" customHeight="1">
      <c r="A16" s="6" t="s">
        <v>42</v>
      </c>
      <c r="B16" s="14">
        <v>30</v>
      </c>
      <c r="C16" s="14">
        <f>'EH'!R38</f>
        <v>61</v>
      </c>
      <c r="D16" s="14">
        <v>66</v>
      </c>
      <c r="E16"/>
      <c r="F16"/>
      <c r="G16"/>
    </row>
    <row r="17" spans="1:7" ht="12.75" customHeight="1">
      <c r="A17" s="6" t="s">
        <v>44</v>
      </c>
      <c r="B17" s="14">
        <v>34</v>
      </c>
      <c r="C17" s="14">
        <f>'EH'!R39</f>
        <v>64</v>
      </c>
      <c r="D17" s="14">
        <v>69</v>
      </c>
      <c r="E17"/>
      <c r="F17"/>
      <c r="G17"/>
    </row>
    <row r="18" spans="1:7" ht="12.75" customHeight="1">
      <c r="A18" s="6" t="s">
        <v>48</v>
      </c>
      <c r="B18" s="14">
        <v>38</v>
      </c>
      <c r="C18" s="14">
        <f>'EH'!R40</f>
        <v>59</v>
      </c>
      <c r="D18" s="14">
        <v>64</v>
      </c>
      <c r="E18"/>
      <c r="F18"/>
      <c r="G18"/>
    </row>
    <row r="19" spans="1:7" ht="12.75" customHeight="1">
      <c r="A19" s="15" t="s">
        <v>50</v>
      </c>
      <c r="B19" s="14">
        <v>25</v>
      </c>
      <c r="C19" s="14">
        <f>'EH'!R41</f>
        <v>65</v>
      </c>
      <c r="D19" s="14">
        <v>53</v>
      </c>
      <c r="E19"/>
      <c r="F19"/>
      <c r="G19"/>
    </row>
    <row r="20" spans="1:7" ht="12.75" customHeight="1">
      <c r="A20" s="15" t="s">
        <v>57</v>
      </c>
      <c r="B20" s="14">
        <v>29</v>
      </c>
      <c r="C20" s="14">
        <f>'EH'!R42</f>
        <v>52</v>
      </c>
      <c r="D20" s="14">
        <v>49</v>
      </c>
      <c r="E20"/>
      <c r="F20"/>
      <c r="G20"/>
    </row>
    <row r="21" spans="1:7" ht="12.75" customHeight="1">
      <c r="A21" s="6"/>
      <c r="B21" s="7"/>
      <c r="C21" s="7"/>
      <c r="D21" s="7"/>
      <c r="E21"/>
      <c r="F21"/>
      <c r="G21"/>
    </row>
    <row r="22" spans="6:8" ht="12.75" customHeight="1">
      <c r="F22"/>
      <c r="G22"/>
      <c r="H22"/>
    </row>
    <row r="23" spans="1:8" s="38" customFormat="1" ht="12.75" customHeight="1">
      <c r="A23" s="39" t="s">
        <v>56</v>
      </c>
      <c r="B23" s="48" t="s">
        <v>13</v>
      </c>
      <c r="C23" s="48" t="s">
        <v>13</v>
      </c>
      <c r="D23" s="48" t="s">
        <v>7</v>
      </c>
      <c r="E23" s="48" t="s">
        <v>17</v>
      </c>
      <c r="F23" s="48" t="s">
        <v>17</v>
      </c>
      <c r="G23" s="49" t="s">
        <v>7</v>
      </c>
      <c r="H23" s="49" t="s">
        <v>8</v>
      </c>
    </row>
    <row r="24" spans="1:8" s="38" customFormat="1" ht="12.75" customHeight="1">
      <c r="A24" s="39"/>
      <c r="B24" s="50" t="s">
        <v>18</v>
      </c>
      <c r="C24" s="50" t="s">
        <v>19</v>
      </c>
      <c r="D24" s="50" t="s">
        <v>13</v>
      </c>
      <c r="E24" s="50" t="s">
        <v>20</v>
      </c>
      <c r="F24" s="50" t="s">
        <v>21</v>
      </c>
      <c r="G24" s="51" t="s">
        <v>17</v>
      </c>
      <c r="H24" s="51" t="s">
        <v>7</v>
      </c>
    </row>
    <row r="25" spans="2:8" ht="12.75" customHeight="1">
      <c r="B25" s="3"/>
      <c r="C25" s="3"/>
      <c r="D25" s="3"/>
      <c r="E25" s="3"/>
      <c r="F25" s="3"/>
      <c r="G25" s="3"/>
      <c r="H25" s="8"/>
    </row>
    <row r="26" spans="1:8" ht="12.75" customHeight="1">
      <c r="A26" s="6" t="s">
        <v>42</v>
      </c>
      <c r="B26" s="74">
        <v>8856</v>
      </c>
      <c r="C26" s="74">
        <v>2035</v>
      </c>
      <c r="D26" s="74">
        <f>C26+B26</f>
        <v>10891</v>
      </c>
      <c r="E26" s="74">
        <v>723</v>
      </c>
      <c r="F26" s="74">
        <v>0</v>
      </c>
      <c r="G26" s="74">
        <f>F26+E26</f>
        <v>723</v>
      </c>
      <c r="H26" s="75">
        <f>G26+D26</f>
        <v>11614</v>
      </c>
    </row>
    <row r="27" spans="1:8" ht="12.75" customHeight="1">
      <c r="A27" s="6" t="s">
        <v>44</v>
      </c>
      <c r="B27" s="74">
        <v>9750</v>
      </c>
      <c r="C27" s="74">
        <v>2065</v>
      </c>
      <c r="D27" s="74">
        <f>C27+B27</f>
        <v>11815</v>
      </c>
      <c r="E27" s="74">
        <v>798</v>
      </c>
      <c r="F27" s="74">
        <v>0</v>
      </c>
      <c r="G27" s="74">
        <f>F27+E27</f>
        <v>798</v>
      </c>
      <c r="H27" s="75">
        <f>G27+D27</f>
        <v>12613</v>
      </c>
    </row>
    <row r="28" spans="1:8" ht="12.75" customHeight="1">
      <c r="A28" s="6" t="s">
        <v>48</v>
      </c>
      <c r="B28" s="74">
        <v>9627</v>
      </c>
      <c r="C28" s="74">
        <v>2196</v>
      </c>
      <c r="D28" s="74">
        <f>C28+B28</f>
        <v>11823</v>
      </c>
      <c r="E28" s="74">
        <v>804</v>
      </c>
      <c r="F28" s="74">
        <v>0</v>
      </c>
      <c r="G28" s="74">
        <f>F28+E28</f>
        <v>804</v>
      </c>
      <c r="H28" s="75">
        <f>G28+D28</f>
        <v>12627</v>
      </c>
    </row>
    <row r="29" spans="1:8" ht="12.75" customHeight="1">
      <c r="A29" s="15" t="s">
        <v>50</v>
      </c>
      <c r="B29" s="74">
        <f>999+4845+3915</f>
        <v>9759</v>
      </c>
      <c r="C29" s="74">
        <f>246+939+995</f>
        <v>2180</v>
      </c>
      <c r="D29" s="74">
        <f>C29+B29</f>
        <v>11939</v>
      </c>
      <c r="E29" s="74">
        <f>219+249+210</f>
        <v>678</v>
      </c>
      <c r="F29" s="74">
        <v>0</v>
      </c>
      <c r="G29" s="74">
        <f>F29+E29</f>
        <v>678</v>
      </c>
      <c r="H29" s="75">
        <f>G29+D29</f>
        <v>12617</v>
      </c>
    </row>
    <row r="30" spans="1:8" ht="12.75" customHeight="1">
      <c r="A30" s="15" t="s">
        <v>57</v>
      </c>
      <c r="B30" s="74">
        <f>906+4956+4164</f>
        <v>10026</v>
      </c>
      <c r="C30" s="74">
        <f>351+1050+1094</f>
        <v>2495</v>
      </c>
      <c r="D30" s="74">
        <f>C30+B30</f>
        <v>12521</v>
      </c>
      <c r="E30" s="74">
        <f>111+285+204</f>
        <v>600</v>
      </c>
      <c r="F30" s="74">
        <v>0</v>
      </c>
      <c r="G30" s="74">
        <f>F30+E30</f>
        <v>600</v>
      </c>
      <c r="H30" s="75">
        <f>G30+D30</f>
        <v>13121</v>
      </c>
    </row>
    <row r="31" spans="1:8" ht="12.75" customHeight="1">
      <c r="A31" s="36"/>
      <c r="B31" s="9"/>
      <c r="C31" s="9"/>
      <c r="D31" s="9"/>
      <c r="E31" s="9"/>
      <c r="F31" s="9"/>
      <c r="G31" s="9"/>
      <c r="H31" s="11"/>
    </row>
    <row r="33" spans="1:8" s="38" customFormat="1" ht="12.75" customHeight="1">
      <c r="A33" s="39" t="s">
        <v>55</v>
      </c>
      <c r="B33" s="48" t="s">
        <v>13</v>
      </c>
      <c r="C33" s="48" t="s">
        <v>13</v>
      </c>
      <c r="D33" s="48" t="s">
        <v>7</v>
      </c>
      <c r="E33" s="48" t="s">
        <v>17</v>
      </c>
      <c r="F33" s="48" t="s">
        <v>22</v>
      </c>
      <c r="G33" s="48" t="s">
        <v>23</v>
      </c>
      <c r="H33" s="49" t="s">
        <v>8</v>
      </c>
    </row>
    <row r="34" spans="2:8" s="38" customFormat="1" ht="12.75" customHeight="1">
      <c r="B34" s="50" t="s">
        <v>18</v>
      </c>
      <c r="C34" s="50" t="s">
        <v>19</v>
      </c>
      <c r="D34" s="50" t="s">
        <v>13</v>
      </c>
      <c r="E34" s="50" t="s">
        <v>20</v>
      </c>
      <c r="F34" s="50" t="s">
        <v>21</v>
      </c>
      <c r="G34" s="50" t="s">
        <v>17</v>
      </c>
      <c r="H34" s="51" t="s">
        <v>7</v>
      </c>
    </row>
    <row r="35" spans="2:8" ht="12.75" customHeight="1">
      <c r="B35" s="12"/>
      <c r="C35" s="12"/>
      <c r="D35" s="12"/>
      <c r="E35" s="12"/>
      <c r="F35" s="12"/>
      <c r="G35" s="12"/>
      <c r="H35" s="14"/>
    </row>
    <row r="36" spans="1:8" ht="12.75" customHeight="1">
      <c r="A36" s="6" t="s">
        <v>42</v>
      </c>
      <c r="B36" s="24">
        <f>B26*0.85</f>
        <v>7527.599999999999</v>
      </c>
      <c r="C36" s="24">
        <f>C26*1.15</f>
        <v>2340.25</v>
      </c>
      <c r="D36" s="24">
        <f>C36+B36</f>
        <v>9867.849999999999</v>
      </c>
      <c r="E36" s="24">
        <f>E26*2.73</f>
        <v>1973.79</v>
      </c>
      <c r="F36" s="24">
        <v>0</v>
      </c>
      <c r="G36" s="24">
        <f>F36+E36</f>
        <v>1973.79</v>
      </c>
      <c r="H36" s="25">
        <f>G36+D36</f>
        <v>11841.64</v>
      </c>
    </row>
    <row r="37" spans="1:8" ht="12.75" customHeight="1">
      <c r="A37" s="6" t="s">
        <v>44</v>
      </c>
      <c r="B37" s="24">
        <f>B27*0.85</f>
        <v>8287.5</v>
      </c>
      <c r="C37" s="24">
        <f>C27*1.15</f>
        <v>2374.75</v>
      </c>
      <c r="D37" s="24">
        <f>C37+B37</f>
        <v>10662.25</v>
      </c>
      <c r="E37" s="24">
        <f>E27*2.73</f>
        <v>2178.54</v>
      </c>
      <c r="F37" s="24">
        <v>0</v>
      </c>
      <c r="G37" s="24">
        <f>F37+E37</f>
        <v>2178.54</v>
      </c>
      <c r="H37" s="25">
        <f>G37+D37</f>
        <v>12840.79</v>
      </c>
    </row>
    <row r="38" spans="1:8" ht="12.75" customHeight="1">
      <c r="A38" s="6" t="s">
        <v>48</v>
      </c>
      <c r="B38" s="24">
        <f>B28*0.85</f>
        <v>8182.95</v>
      </c>
      <c r="C38" s="24">
        <f>C28*1.15</f>
        <v>2525.3999999999996</v>
      </c>
      <c r="D38" s="24">
        <f>C38+B38</f>
        <v>10708.349999999999</v>
      </c>
      <c r="E38" s="24">
        <f>E28*2.73</f>
        <v>2194.92</v>
      </c>
      <c r="F38" s="24">
        <v>0</v>
      </c>
      <c r="G38" s="24">
        <f>F38+E38</f>
        <v>2194.92</v>
      </c>
      <c r="H38" s="25">
        <f>G38+D38</f>
        <v>12903.269999999999</v>
      </c>
    </row>
    <row r="39" spans="1:8" ht="12.75" customHeight="1">
      <c r="A39" s="15" t="s">
        <v>50</v>
      </c>
      <c r="B39" s="24">
        <f>B29*0.85</f>
        <v>8295.15</v>
      </c>
      <c r="C39" s="24">
        <f>C29*1.15</f>
        <v>2507</v>
      </c>
      <c r="D39" s="24">
        <f>C39+B39</f>
        <v>10802.15</v>
      </c>
      <c r="E39" s="24">
        <f>E29*2.73</f>
        <v>1850.94</v>
      </c>
      <c r="F39" s="24">
        <v>0</v>
      </c>
      <c r="G39" s="24">
        <f>F39+E39</f>
        <v>1850.94</v>
      </c>
      <c r="H39" s="25">
        <f>G39+D39</f>
        <v>12653.09</v>
      </c>
    </row>
    <row r="40" spans="1:8" ht="12.75" customHeight="1">
      <c r="A40" s="15" t="s">
        <v>57</v>
      </c>
      <c r="B40" s="24">
        <f>B30*0.85</f>
        <v>8522.1</v>
      </c>
      <c r="C40" s="24">
        <f>C30*1.15</f>
        <v>2869.25</v>
      </c>
      <c r="D40" s="24">
        <f>C40+B40</f>
        <v>11391.35</v>
      </c>
      <c r="E40" s="24">
        <f>E30*2.73</f>
        <v>1638</v>
      </c>
      <c r="F40" s="24">
        <v>0</v>
      </c>
      <c r="G40" s="24">
        <f>F40+E40</f>
        <v>1638</v>
      </c>
      <c r="H40" s="25">
        <f>G40+D40</f>
        <v>13029.35</v>
      </c>
    </row>
    <row r="41" spans="1:8" ht="12.75" customHeight="1">
      <c r="A41" s="36"/>
      <c r="B41" s="9"/>
      <c r="C41" s="9"/>
      <c r="D41" s="9"/>
      <c r="E41" s="9"/>
      <c r="F41" s="9"/>
      <c r="G41" s="9"/>
      <c r="H41" s="11"/>
    </row>
    <row r="43" ht="12.75" customHeight="1">
      <c r="A43" s="95" t="s">
        <v>58</v>
      </c>
    </row>
    <row r="72" spans="1:13" s="16" customFormat="1" ht="12.75" customHeight="1">
      <c r="A72" s="35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83" spans="1:13" s="16" customFormat="1" ht="12.75" customHeight="1">
      <c r="A83" s="35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116" spans="1:13" s="16" customFormat="1" ht="12.75" customHeight="1">
      <c r="A116" s="35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219" spans="1:13" s="16" customFormat="1" ht="12.75" customHeight="1">
      <c r="A219" s="35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53" spans="1:13" s="16" customFormat="1" ht="12.75" customHeight="1">
      <c r="A253" s="35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64" spans="1:13" s="16" customFormat="1" ht="12.75" customHeight="1">
      <c r="A264" s="35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73" spans="1:13" s="16" customFormat="1" ht="12.75" customHeight="1">
      <c r="A273" s="35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307" spans="1:13" s="16" customFormat="1" ht="12.75" customHeight="1">
      <c r="A307" s="35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40" spans="1:13" s="16" customFormat="1" ht="12.75" customHeight="1">
      <c r="A340" s="35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74" spans="1:13" s="16" customFormat="1" ht="12.75" customHeight="1">
      <c r="A374" s="35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407" spans="1:13" s="16" customFormat="1" ht="12.75" customHeight="1">
      <c r="A407" s="35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62" spans="1:13" s="16" customFormat="1" ht="12.75" customHeight="1">
      <c r="A462" s="35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</row>
    <row r="494" spans="1:13" s="16" customFormat="1" ht="12.75" customHeight="1">
      <c r="A494" s="35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</row>
    <row r="505" spans="1:13" s="16" customFormat="1" ht="12.75" customHeight="1">
      <c r="A505" s="35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</row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8" spans="1:13" s="16" customFormat="1" ht="12.75" customHeight="1">
      <c r="A538" s="35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</row>
    <row r="550" spans="1:13" s="16" customFormat="1" ht="12.75" customHeight="1">
      <c r="A550" s="35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</row>
    <row r="559" spans="1:13" s="16" customFormat="1" ht="12.75" customHeight="1">
      <c r="A559" s="35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</row>
  </sheetData>
  <printOptions horizontalCentered="1"/>
  <pageMargins left="0.25" right="0.25" top="1" bottom="0.75" header="0.5" footer="0.25"/>
  <pageSetup fitToHeight="1" fitToWidth="1" horizontalDpi="300" verticalDpi="300" orientation="landscape" scale="90" r:id="rId1"/>
  <headerFooter alignWithMargins="0">
    <oddHeader>&amp;CThe University of Alabama in Huntsville
Unit Academic Reports 
</oddHeader>
    <oddFooter xml:space="preserve">&amp;L&amp;8Office of Institutional Research
&amp;D (ly)
&amp;F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H24"/>
  <sheetViews>
    <sheetView workbookViewId="0" topLeftCell="A1">
      <selection activeCell="E11" sqref="E11"/>
    </sheetView>
  </sheetViews>
  <sheetFormatPr defaultColWidth="9.140625" defaultRowHeight="12.75" customHeight="1"/>
  <cols>
    <col min="1" max="1" width="22.7109375" style="36" customWidth="1"/>
    <col min="2" max="8" width="13.7109375" style="0" customWidth="1"/>
  </cols>
  <sheetData>
    <row r="1" spans="1:5" ht="12.75" customHeight="1">
      <c r="A1" s="18" t="s">
        <v>27</v>
      </c>
      <c r="B1" s="16"/>
      <c r="C1" s="16"/>
      <c r="D1" s="16"/>
      <c r="E1" s="16"/>
    </row>
    <row r="2" spans="1:5" ht="12.75" customHeight="1">
      <c r="A2" s="35"/>
      <c r="B2" s="2"/>
      <c r="C2" s="2"/>
      <c r="D2" s="2"/>
      <c r="E2" s="2"/>
    </row>
    <row r="3" spans="1:8" s="38" customFormat="1" ht="12.75" customHeight="1">
      <c r="A3" s="39" t="s">
        <v>56</v>
      </c>
      <c r="B3" s="48" t="s">
        <v>13</v>
      </c>
      <c r="C3" s="48" t="s">
        <v>13</v>
      </c>
      <c r="D3" s="48" t="s">
        <v>7</v>
      </c>
      <c r="E3" s="49" t="s">
        <v>17</v>
      </c>
      <c r="F3" s="48" t="s">
        <v>17</v>
      </c>
      <c r="G3" s="49" t="s">
        <v>7</v>
      </c>
      <c r="H3" s="49" t="s">
        <v>8</v>
      </c>
    </row>
    <row r="4" spans="1:8" s="38" customFormat="1" ht="12.75" customHeight="1">
      <c r="A4" s="39"/>
      <c r="B4" s="50" t="s">
        <v>18</v>
      </c>
      <c r="C4" s="50" t="s">
        <v>19</v>
      </c>
      <c r="D4" s="50" t="s">
        <v>13</v>
      </c>
      <c r="E4" s="51" t="s">
        <v>20</v>
      </c>
      <c r="F4" s="50" t="s">
        <v>21</v>
      </c>
      <c r="G4" s="51" t="s">
        <v>17</v>
      </c>
      <c r="H4" s="51" t="s">
        <v>7</v>
      </c>
    </row>
    <row r="5" spans="1:8" ht="12.75" customHeight="1">
      <c r="A5" s="35"/>
      <c r="B5" s="3"/>
      <c r="C5" s="3"/>
      <c r="D5" s="3"/>
      <c r="E5" s="8"/>
      <c r="F5" s="3"/>
      <c r="G5" s="3"/>
      <c r="H5" s="8"/>
    </row>
    <row r="6" spans="1:8" ht="12.75" customHeight="1">
      <c r="A6" s="6" t="s">
        <v>42</v>
      </c>
      <c r="B6" s="74">
        <v>0</v>
      </c>
      <c r="C6" s="74">
        <v>45</v>
      </c>
      <c r="D6" s="74">
        <f>C6+B6</f>
        <v>45</v>
      </c>
      <c r="E6" s="75">
        <v>198</v>
      </c>
      <c r="F6" s="74">
        <v>0</v>
      </c>
      <c r="G6" s="74">
        <f>F6+E6</f>
        <v>198</v>
      </c>
      <c r="H6" s="75">
        <f>G6+D6</f>
        <v>243</v>
      </c>
    </row>
    <row r="7" spans="1:8" ht="12.75" customHeight="1">
      <c r="A7" s="6" t="s">
        <v>44</v>
      </c>
      <c r="B7" s="74">
        <v>0</v>
      </c>
      <c r="C7" s="74">
        <v>54</v>
      </c>
      <c r="D7" s="74">
        <f>C7+B7</f>
        <v>54</v>
      </c>
      <c r="E7" s="75">
        <v>246</v>
      </c>
      <c r="F7" s="74">
        <v>0</v>
      </c>
      <c r="G7" s="74">
        <f>F7+E7</f>
        <v>246</v>
      </c>
      <c r="H7" s="75">
        <f>G7+D7</f>
        <v>300</v>
      </c>
    </row>
    <row r="8" spans="1:8" ht="12.75" customHeight="1">
      <c r="A8" s="6" t="s">
        <v>48</v>
      </c>
      <c r="B8" s="74">
        <v>0</v>
      </c>
      <c r="C8" s="74">
        <v>51</v>
      </c>
      <c r="D8" s="74">
        <f>C8+B8</f>
        <v>51</v>
      </c>
      <c r="E8" s="75">
        <v>177</v>
      </c>
      <c r="F8" s="74">
        <v>0</v>
      </c>
      <c r="G8" s="74">
        <f>F8+E8</f>
        <v>177</v>
      </c>
      <c r="H8" s="75">
        <f>G8+D8</f>
        <v>228</v>
      </c>
    </row>
    <row r="9" spans="1:8" ht="12.75" customHeight="1">
      <c r="A9" s="15" t="s">
        <v>50</v>
      </c>
      <c r="B9" s="74">
        <v>0</v>
      </c>
      <c r="C9" s="74">
        <f>66</f>
        <v>66</v>
      </c>
      <c r="D9" s="74">
        <f>C9+B9</f>
        <v>66</v>
      </c>
      <c r="E9" s="75">
        <f>126+99</f>
        <v>225</v>
      </c>
      <c r="F9" s="74">
        <v>0</v>
      </c>
      <c r="G9" s="74">
        <f>F9+E9</f>
        <v>225</v>
      </c>
      <c r="H9" s="75">
        <f>G9+D9</f>
        <v>291</v>
      </c>
    </row>
    <row r="10" spans="1:8" ht="12.75" customHeight="1">
      <c r="A10" s="15" t="s">
        <v>57</v>
      </c>
      <c r="B10" s="74">
        <v>0</v>
      </c>
      <c r="C10" s="74">
        <f>27</f>
        <v>27</v>
      </c>
      <c r="D10" s="74">
        <f>C10+B10</f>
        <v>27</v>
      </c>
      <c r="E10" s="75">
        <f>6+51</f>
        <v>57</v>
      </c>
      <c r="F10" s="74">
        <v>0</v>
      </c>
      <c r="G10" s="74">
        <f>F10+E10</f>
        <v>57</v>
      </c>
      <c r="H10" s="75">
        <f>G10+D10</f>
        <v>84</v>
      </c>
    </row>
    <row r="11" spans="2:8" ht="12.75" customHeight="1">
      <c r="B11" s="9"/>
      <c r="C11" s="9"/>
      <c r="D11" s="9"/>
      <c r="E11" s="11"/>
      <c r="F11" s="9"/>
      <c r="G11" s="9"/>
      <c r="H11" s="11"/>
    </row>
    <row r="12" spans="1:5" ht="12.75" customHeight="1">
      <c r="A12" s="35"/>
      <c r="B12" s="2"/>
      <c r="C12" s="2"/>
      <c r="D12" s="2"/>
      <c r="E12" s="2"/>
    </row>
    <row r="13" spans="1:8" s="38" customFormat="1" ht="12.75" customHeight="1">
      <c r="A13" s="39" t="s">
        <v>55</v>
      </c>
      <c r="B13" s="48" t="s">
        <v>13</v>
      </c>
      <c r="C13" s="48" t="s">
        <v>13</v>
      </c>
      <c r="D13" s="48" t="s">
        <v>7</v>
      </c>
      <c r="E13" s="49" t="s">
        <v>17</v>
      </c>
      <c r="F13" s="48" t="s">
        <v>17</v>
      </c>
      <c r="G13" s="49" t="s">
        <v>7</v>
      </c>
      <c r="H13" s="49" t="s">
        <v>8</v>
      </c>
    </row>
    <row r="14" spans="2:8" s="38" customFormat="1" ht="12.75" customHeight="1">
      <c r="B14" s="50" t="s">
        <v>18</v>
      </c>
      <c r="C14" s="50" t="s">
        <v>19</v>
      </c>
      <c r="D14" s="50" t="s">
        <v>13</v>
      </c>
      <c r="E14" s="51" t="s">
        <v>20</v>
      </c>
      <c r="F14" s="50" t="s">
        <v>21</v>
      </c>
      <c r="G14" s="51" t="s">
        <v>17</v>
      </c>
      <c r="H14" s="51" t="s">
        <v>7</v>
      </c>
    </row>
    <row r="15" spans="1:8" ht="12.75" customHeight="1">
      <c r="A15" s="35"/>
      <c r="B15" s="12"/>
      <c r="C15" s="12"/>
      <c r="D15" s="12"/>
      <c r="E15" s="14"/>
      <c r="F15" s="3"/>
      <c r="G15" s="3"/>
      <c r="H15" s="8"/>
    </row>
    <row r="16" spans="1:8" ht="12.75" customHeight="1">
      <c r="A16" s="6" t="s">
        <v>42</v>
      </c>
      <c r="B16" s="24">
        <f>B6*0.85</f>
        <v>0</v>
      </c>
      <c r="C16" s="24">
        <f>C6*1.15</f>
        <v>51.74999999999999</v>
      </c>
      <c r="D16" s="24">
        <f>C16+B16</f>
        <v>51.74999999999999</v>
      </c>
      <c r="E16" s="25">
        <f>E6*2.73</f>
        <v>540.54</v>
      </c>
      <c r="F16" s="27">
        <v>0</v>
      </c>
      <c r="G16" s="27">
        <f>F16+E16</f>
        <v>540.54</v>
      </c>
      <c r="H16" s="28">
        <f>G16+D16</f>
        <v>592.29</v>
      </c>
    </row>
    <row r="17" spans="1:8" ht="12.75" customHeight="1">
      <c r="A17" s="6" t="s">
        <v>44</v>
      </c>
      <c r="B17" s="24">
        <f>B7*0.85</f>
        <v>0</v>
      </c>
      <c r="C17" s="24">
        <f>C7*1.15</f>
        <v>62.099999999999994</v>
      </c>
      <c r="D17" s="24">
        <f>C17+B17</f>
        <v>62.099999999999994</v>
      </c>
      <c r="E17" s="25">
        <f>E7*2.73</f>
        <v>671.58</v>
      </c>
      <c r="F17" s="27">
        <v>0</v>
      </c>
      <c r="G17" s="27">
        <f>F17+E17</f>
        <v>671.58</v>
      </c>
      <c r="H17" s="28">
        <f>G17+D17</f>
        <v>733.6800000000001</v>
      </c>
    </row>
    <row r="18" spans="1:8" ht="12.75" customHeight="1">
      <c r="A18" s="6" t="s">
        <v>48</v>
      </c>
      <c r="B18" s="24">
        <f>B8*0.85</f>
        <v>0</v>
      </c>
      <c r="C18" s="24">
        <f>C8*1.15</f>
        <v>58.65</v>
      </c>
      <c r="D18" s="24">
        <f>C18+B18</f>
        <v>58.65</v>
      </c>
      <c r="E18" s="25">
        <f>E8*2.73</f>
        <v>483.21</v>
      </c>
      <c r="F18" s="27">
        <v>0</v>
      </c>
      <c r="G18" s="27">
        <f>F18+E18</f>
        <v>483.21</v>
      </c>
      <c r="H18" s="28">
        <f>G18+D18</f>
        <v>541.86</v>
      </c>
    </row>
    <row r="19" spans="1:8" ht="12.75" customHeight="1">
      <c r="A19" s="15" t="s">
        <v>50</v>
      </c>
      <c r="B19" s="24">
        <f>B9*0.85</f>
        <v>0</v>
      </c>
      <c r="C19" s="24">
        <f>C9*1.15</f>
        <v>75.89999999999999</v>
      </c>
      <c r="D19" s="24">
        <f>C19+B19</f>
        <v>75.89999999999999</v>
      </c>
      <c r="E19" s="25">
        <f>E9*2.73</f>
        <v>614.25</v>
      </c>
      <c r="F19" s="27">
        <v>0</v>
      </c>
      <c r="G19" s="27">
        <f>F19+E19</f>
        <v>614.25</v>
      </c>
      <c r="H19" s="28">
        <f>G19+D19</f>
        <v>690.15</v>
      </c>
    </row>
    <row r="20" spans="1:8" ht="12.75" customHeight="1">
      <c r="A20" s="15" t="s">
        <v>57</v>
      </c>
      <c r="B20" s="24">
        <f>B10*0.85</f>
        <v>0</v>
      </c>
      <c r="C20" s="24">
        <f>C10*1.15</f>
        <v>31.049999999999997</v>
      </c>
      <c r="D20" s="24">
        <f>C20+B20</f>
        <v>31.049999999999997</v>
      </c>
      <c r="E20" s="25">
        <f>E10*2.73</f>
        <v>155.60999999999999</v>
      </c>
      <c r="F20" s="27">
        <v>0</v>
      </c>
      <c r="G20" s="27">
        <f>F20+E20</f>
        <v>155.60999999999999</v>
      </c>
      <c r="H20" s="28">
        <f>G20+D20</f>
        <v>186.65999999999997</v>
      </c>
    </row>
    <row r="21" spans="2:8" ht="12.75" customHeight="1">
      <c r="B21" s="9"/>
      <c r="C21" s="9"/>
      <c r="D21" s="9"/>
      <c r="E21" s="11"/>
      <c r="F21" s="9"/>
      <c r="G21" s="9"/>
      <c r="H21" s="11"/>
    </row>
    <row r="22" spans="1:5" ht="12.75" customHeight="1">
      <c r="A22" s="35"/>
      <c r="B22" s="2"/>
      <c r="C22" s="2"/>
      <c r="D22" s="2"/>
      <c r="E22" s="2"/>
    </row>
    <row r="23" spans="1:6" ht="12.75" customHeight="1">
      <c r="A23" s="95" t="s">
        <v>58</v>
      </c>
      <c r="B23" s="2"/>
      <c r="C23" s="2"/>
      <c r="D23" s="2"/>
      <c r="E23" s="2"/>
      <c r="F23" s="2"/>
    </row>
    <row r="24" spans="1:6" ht="12.75" customHeight="1">
      <c r="A24" s="35"/>
      <c r="B24" s="2"/>
      <c r="C24" s="2"/>
      <c r="D24" s="2"/>
      <c r="E24" s="2"/>
      <c r="F24" s="2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 xml:space="preserve">&amp;L&amp;8Office of Institutional Research
&amp;D (ly)
&amp;F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H24"/>
  <sheetViews>
    <sheetView workbookViewId="0" topLeftCell="A1">
      <selection activeCell="D10" sqref="D10"/>
    </sheetView>
  </sheetViews>
  <sheetFormatPr defaultColWidth="9.140625" defaultRowHeight="12.75" customHeight="1"/>
  <cols>
    <col min="1" max="1" width="22.7109375" style="36" customWidth="1"/>
    <col min="2" max="8" width="13.7109375" style="0" customWidth="1"/>
  </cols>
  <sheetData>
    <row r="1" spans="1:5" ht="12.75" customHeight="1">
      <c r="A1" s="18" t="s">
        <v>28</v>
      </c>
      <c r="B1" s="16"/>
      <c r="C1" s="16"/>
      <c r="D1" s="16"/>
      <c r="E1" s="16"/>
    </row>
    <row r="2" spans="1:5" ht="12.75" customHeight="1">
      <c r="A2" s="35"/>
      <c r="B2" s="2"/>
      <c r="C2" s="2"/>
      <c r="D2" s="2"/>
      <c r="E2" s="2"/>
    </row>
    <row r="3" spans="1:8" s="38" customFormat="1" ht="12.75" customHeight="1">
      <c r="A3" s="39" t="s">
        <v>56</v>
      </c>
      <c r="B3" s="48" t="s">
        <v>13</v>
      </c>
      <c r="C3" s="48" t="s">
        <v>13</v>
      </c>
      <c r="D3" s="48" t="s">
        <v>7</v>
      </c>
      <c r="E3" s="49" t="s">
        <v>17</v>
      </c>
      <c r="F3" s="48" t="s">
        <v>17</v>
      </c>
      <c r="G3" s="49" t="s">
        <v>7</v>
      </c>
      <c r="H3" s="49" t="s">
        <v>8</v>
      </c>
    </row>
    <row r="4" spans="1:8" s="38" customFormat="1" ht="12.75" customHeight="1">
      <c r="A4" s="39"/>
      <c r="B4" s="50" t="s">
        <v>18</v>
      </c>
      <c r="C4" s="50" t="s">
        <v>19</v>
      </c>
      <c r="D4" s="50" t="s">
        <v>13</v>
      </c>
      <c r="E4" s="51" t="s">
        <v>20</v>
      </c>
      <c r="F4" s="50" t="s">
        <v>21</v>
      </c>
      <c r="G4" s="51" t="s">
        <v>17</v>
      </c>
      <c r="H4" s="51" t="s">
        <v>7</v>
      </c>
    </row>
    <row r="5" spans="1:8" ht="12.75" customHeight="1">
      <c r="A5" s="35"/>
      <c r="B5" s="3"/>
      <c r="C5" s="3"/>
      <c r="D5" s="3"/>
      <c r="E5" s="8"/>
      <c r="F5" s="3"/>
      <c r="G5" s="3"/>
      <c r="H5" s="8"/>
    </row>
    <row r="6" spans="1:8" ht="12.75" customHeight="1">
      <c r="A6" s="6" t="s">
        <v>42</v>
      </c>
      <c r="B6" s="74">
        <v>393</v>
      </c>
      <c r="C6" s="74">
        <v>0</v>
      </c>
      <c r="D6" s="74">
        <f>C6+B6</f>
        <v>393</v>
      </c>
      <c r="E6" s="75">
        <v>0</v>
      </c>
      <c r="F6" s="74">
        <v>0</v>
      </c>
      <c r="G6" s="74">
        <v>0</v>
      </c>
      <c r="H6" s="75">
        <f>G6+D6</f>
        <v>393</v>
      </c>
    </row>
    <row r="7" spans="1:8" ht="12.75" customHeight="1">
      <c r="A7" s="6" t="s">
        <v>44</v>
      </c>
      <c r="B7" s="74">
        <v>570</v>
      </c>
      <c r="C7" s="74">
        <v>0</v>
      </c>
      <c r="D7" s="74">
        <f>C7+B7</f>
        <v>570</v>
      </c>
      <c r="E7" s="75">
        <v>0</v>
      </c>
      <c r="F7" s="74">
        <v>0</v>
      </c>
      <c r="G7" s="74">
        <v>0</v>
      </c>
      <c r="H7" s="75">
        <f>G7+D7</f>
        <v>570</v>
      </c>
    </row>
    <row r="8" spans="1:8" ht="12.75" customHeight="1">
      <c r="A8" s="6" t="s">
        <v>48</v>
      </c>
      <c r="B8" s="74">
        <v>744</v>
      </c>
      <c r="C8" s="74">
        <v>0</v>
      </c>
      <c r="D8" s="74">
        <f>C8+B8</f>
        <v>744</v>
      </c>
      <c r="E8" s="75">
        <v>0</v>
      </c>
      <c r="F8" s="74">
        <v>0</v>
      </c>
      <c r="G8" s="74">
        <v>0</v>
      </c>
      <c r="H8" s="75">
        <f>G8+D8</f>
        <v>744</v>
      </c>
    </row>
    <row r="9" spans="1:8" ht="12.75" customHeight="1">
      <c r="A9" s="15" t="s">
        <v>50</v>
      </c>
      <c r="B9" s="74">
        <f>147+201+180</f>
        <v>528</v>
      </c>
      <c r="C9" s="74">
        <v>0</v>
      </c>
      <c r="D9" s="74">
        <f>C9+B9</f>
        <v>528</v>
      </c>
      <c r="E9" s="75">
        <v>0</v>
      </c>
      <c r="F9" s="74">
        <v>0</v>
      </c>
      <c r="G9" s="74">
        <v>0</v>
      </c>
      <c r="H9" s="75">
        <f>G9+D9</f>
        <v>528</v>
      </c>
    </row>
    <row r="10" spans="1:8" ht="12.75" customHeight="1">
      <c r="A10" s="15" t="s">
        <v>57</v>
      </c>
      <c r="B10" s="74">
        <f>126+156+129</f>
        <v>411</v>
      </c>
      <c r="C10" s="74">
        <v>0</v>
      </c>
      <c r="D10" s="74">
        <f>C10+B10</f>
        <v>411</v>
      </c>
      <c r="E10" s="75">
        <v>0</v>
      </c>
      <c r="F10" s="74">
        <v>0</v>
      </c>
      <c r="G10" s="74">
        <v>0</v>
      </c>
      <c r="H10" s="75">
        <f>G10+D10</f>
        <v>411</v>
      </c>
    </row>
    <row r="11" spans="2:8" ht="12.75" customHeight="1">
      <c r="B11" s="76"/>
      <c r="C11" s="76"/>
      <c r="D11" s="76"/>
      <c r="E11" s="77"/>
      <c r="F11" s="76"/>
      <c r="G11" s="76"/>
      <c r="H11" s="77"/>
    </row>
    <row r="12" spans="1:5" ht="12.75" customHeight="1">
      <c r="A12" s="35"/>
      <c r="B12" s="2"/>
      <c r="C12" s="2"/>
      <c r="D12" s="2"/>
      <c r="E12" s="2"/>
    </row>
    <row r="13" spans="1:8" s="38" customFormat="1" ht="12.75" customHeight="1">
      <c r="A13" s="39" t="s">
        <v>55</v>
      </c>
      <c r="B13" s="48" t="s">
        <v>13</v>
      </c>
      <c r="C13" s="48" t="s">
        <v>13</v>
      </c>
      <c r="D13" s="48" t="s">
        <v>7</v>
      </c>
      <c r="E13" s="49" t="s">
        <v>17</v>
      </c>
      <c r="F13" s="48" t="s">
        <v>17</v>
      </c>
      <c r="G13" s="49" t="s">
        <v>7</v>
      </c>
      <c r="H13" s="49" t="s">
        <v>8</v>
      </c>
    </row>
    <row r="14" spans="2:8" s="38" customFormat="1" ht="12.75" customHeight="1">
      <c r="B14" s="50" t="s">
        <v>18</v>
      </c>
      <c r="C14" s="50" t="s">
        <v>19</v>
      </c>
      <c r="D14" s="50" t="s">
        <v>13</v>
      </c>
      <c r="E14" s="51" t="s">
        <v>20</v>
      </c>
      <c r="F14" s="50" t="s">
        <v>21</v>
      </c>
      <c r="G14" s="51" t="s">
        <v>17</v>
      </c>
      <c r="H14" s="51" t="s">
        <v>7</v>
      </c>
    </row>
    <row r="15" spans="1:8" ht="12.75" customHeight="1">
      <c r="A15" s="35"/>
      <c r="B15" s="12"/>
      <c r="C15" s="12"/>
      <c r="D15" s="12"/>
      <c r="E15" s="14"/>
      <c r="F15" s="3"/>
      <c r="G15" s="3"/>
      <c r="H15" s="8"/>
    </row>
    <row r="16" spans="1:8" ht="12.75" customHeight="1">
      <c r="A16" s="6" t="s">
        <v>42</v>
      </c>
      <c r="B16" s="24">
        <f>B6*0.85</f>
        <v>334.05</v>
      </c>
      <c r="C16" s="24">
        <v>0</v>
      </c>
      <c r="D16" s="24">
        <f>C16+B16</f>
        <v>334.05</v>
      </c>
      <c r="E16" s="25">
        <v>0</v>
      </c>
      <c r="F16" s="27">
        <v>0</v>
      </c>
      <c r="G16" s="27">
        <v>0</v>
      </c>
      <c r="H16" s="28">
        <f>G16+D16</f>
        <v>334.05</v>
      </c>
    </row>
    <row r="17" spans="1:8" ht="12.75" customHeight="1">
      <c r="A17" s="6" t="s">
        <v>44</v>
      </c>
      <c r="B17" s="24">
        <f>B7*0.85</f>
        <v>484.5</v>
      </c>
      <c r="C17" s="24">
        <v>0</v>
      </c>
      <c r="D17" s="24">
        <f>C17+B17</f>
        <v>484.5</v>
      </c>
      <c r="E17" s="25">
        <v>0</v>
      </c>
      <c r="F17" s="27">
        <v>0</v>
      </c>
      <c r="G17" s="27">
        <v>0</v>
      </c>
      <c r="H17" s="28">
        <f>G17+D17</f>
        <v>484.5</v>
      </c>
    </row>
    <row r="18" spans="1:8" ht="12.75" customHeight="1">
      <c r="A18" s="6" t="s">
        <v>48</v>
      </c>
      <c r="B18" s="24">
        <f>B8*0.85</f>
        <v>632.4</v>
      </c>
      <c r="C18" s="24">
        <v>0</v>
      </c>
      <c r="D18" s="24">
        <f>C18+B18</f>
        <v>632.4</v>
      </c>
      <c r="E18" s="25">
        <v>0</v>
      </c>
      <c r="F18" s="27">
        <v>0</v>
      </c>
      <c r="G18" s="27">
        <v>0</v>
      </c>
      <c r="H18" s="28">
        <f>G18+D18</f>
        <v>632.4</v>
      </c>
    </row>
    <row r="19" spans="1:8" ht="12.75" customHeight="1">
      <c r="A19" s="15" t="s">
        <v>50</v>
      </c>
      <c r="B19" s="24">
        <f>B9*0.85</f>
        <v>448.8</v>
      </c>
      <c r="C19" s="24">
        <v>0</v>
      </c>
      <c r="D19" s="24">
        <f>C19+B19</f>
        <v>448.8</v>
      </c>
      <c r="E19" s="25">
        <v>0</v>
      </c>
      <c r="F19" s="27">
        <v>0</v>
      </c>
      <c r="G19" s="27">
        <v>0</v>
      </c>
      <c r="H19" s="28">
        <f>G19+D19</f>
        <v>448.8</v>
      </c>
    </row>
    <row r="20" spans="1:8" ht="12.75" customHeight="1">
      <c r="A20" s="15" t="s">
        <v>57</v>
      </c>
      <c r="B20" s="24">
        <f>B10*0.85</f>
        <v>349.34999999999997</v>
      </c>
      <c r="C20" s="24">
        <v>0</v>
      </c>
      <c r="D20" s="24">
        <f>C20+B20</f>
        <v>349.34999999999997</v>
      </c>
      <c r="E20" s="25">
        <v>0</v>
      </c>
      <c r="F20" s="27">
        <v>0</v>
      </c>
      <c r="G20" s="27">
        <v>0</v>
      </c>
      <c r="H20" s="28">
        <f>G20+D20</f>
        <v>349.34999999999997</v>
      </c>
    </row>
    <row r="21" spans="2:8" ht="12.75" customHeight="1">
      <c r="B21" s="9"/>
      <c r="C21" s="9"/>
      <c r="D21" s="9"/>
      <c r="E21" s="11"/>
      <c r="F21" s="9"/>
      <c r="G21" s="9"/>
      <c r="H21" s="11"/>
    </row>
    <row r="23" spans="1:6" ht="12.75" customHeight="1">
      <c r="A23" s="95" t="s">
        <v>58</v>
      </c>
      <c r="B23" s="2"/>
      <c r="C23" s="2"/>
      <c r="D23" s="2"/>
      <c r="E23" s="2"/>
      <c r="F23" s="2"/>
    </row>
    <row r="24" spans="1:6" ht="12.75" customHeight="1">
      <c r="A24" s="35"/>
      <c r="B24" s="2"/>
      <c r="C24" s="2"/>
      <c r="D24" s="2"/>
      <c r="E24" s="2"/>
      <c r="F24" s="2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 xml:space="preserve">&amp;L&amp;8Office of Institutional Research
&amp;D (ly)
&amp;F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H24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2.7109375" style="36" customWidth="1"/>
    <col min="2" max="8" width="13.7109375" style="0" customWidth="1"/>
  </cols>
  <sheetData>
    <row r="1" spans="1:5" ht="12.75" customHeight="1">
      <c r="A1" s="18" t="s">
        <v>29</v>
      </c>
      <c r="B1" s="16"/>
      <c r="C1" s="16"/>
      <c r="D1" s="16"/>
      <c r="E1" s="16"/>
    </row>
    <row r="2" spans="1:5" ht="12.75" customHeight="1">
      <c r="A2" s="35"/>
      <c r="B2" s="2"/>
      <c r="C2" s="2"/>
      <c r="D2" s="2"/>
      <c r="E2" s="2"/>
    </row>
    <row r="3" spans="1:8" s="38" customFormat="1" ht="12.75" customHeight="1">
      <c r="A3" s="39" t="s">
        <v>56</v>
      </c>
      <c r="B3" s="48" t="s">
        <v>13</v>
      </c>
      <c r="C3" s="48" t="s">
        <v>13</v>
      </c>
      <c r="D3" s="48" t="s">
        <v>7</v>
      </c>
      <c r="E3" s="49" t="s">
        <v>17</v>
      </c>
      <c r="F3" s="48" t="s">
        <v>17</v>
      </c>
      <c r="G3" s="49" t="s">
        <v>7</v>
      </c>
      <c r="H3" s="49" t="s">
        <v>8</v>
      </c>
    </row>
    <row r="4" spans="1:8" s="38" customFormat="1" ht="12.75" customHeight="1">
      <c r="A4" s="39"/>
      <c r="B4" s="50" t="s">
        <v>18</v>
      </c>
      <c r="C4" s="50" t="s">
        <v>19</v>
      </c>
      <c r="D4" s="50" t="s">
        <v>13</v>
      </c>
      <c r="E4" s="51" t="s">
        <v>20</v>
      </c>
      <c r="F4" s="50" t="s">
        <v>21</v>
      </c>
      <c r="G4" s="51" t="s">
        <v>17</v>
      </c>
      <c r="H4" s="51" t="s">
        <v>7</v>
      </c>
    </row>
    <row r="5" spans="1:8" ht="12" customHeight="1">
      <c r="A5" s="35"/>
      <c r="B5" s="3"/>
      <c r="C5" s="3"/>
      <c r="D5" s="3"/>
      <c r="E5" s="8"/>
      <c r="F5" s="3"/>
      <c r="G5" s="3"/>
      <c r="H5" s="8"/>
    </row>
    <row r="6" spans="1:8" ht="12.75" customHeight="1">
      <c r="A6" s="6" t="s">
        <v>42</v>
      </c>
      <c r="B6" s="74">
        <f>ESL2!B6+EHL2!B6+'EH2'!B26</f>
        <v>9249</v>
      </c>
      <c r="C6" s="74">
        <f>ESL2!C6+EHL2!C6+'EH2'!C26</f>
        <v>2080</v>
      </c>
      <c r="D6" s="74">
        <f>ESL2!D6+EHL2!D6+'EH2'!D26</f>
        <v>11329</v>
      </c>
      <c r="E6" s="74">
        <f>ESL2!E6+EHL2!E6+'EH2'!E26</f>
        <v>921</v>
      </c>
      <c r="F6" s="74">
        <f>ESL2!F6+EHL2!F6+'EH2'!F26</f>
        <v>0</v>
      </c>
      <c r="G6" s="74">
        <f>F6+E6</f>
        <v>921</v>
      </c>
      <c r="H6" s="75">
        <f>G6+D6</f>
        <v>12250</v>
      </c>
    </row>
    <row r="7" spans="1:8" ht="12.75" customHeight="1">
      <c r="A7" s="6" t="s">
        <v>44</v>
      </c>
      <c r="B7" s="74">
        <f>ESL2!B7+EHL2!B7+'EH2'!B27</f>
        <v>10320</v>
      </c>
      <c r="C7" s="74">
        <f>ESL2!C7+EHL2!C7+'EH2'!C27</f>
        <v>2119</v>
      </c>
      <c r="D7" s="74">
        <f>ESL2!D7+EHL2!D7+'EH2'!D27</f>
        <v>12439</v>
      </c>
      <c r="E7" s="74">
        <f>ESL2!E7+EHL2!E7+'EH2'!E27</f>
        <v>1044</v>
      </c>
      <c r="F7" s="74">
        <f>ESL2!F7+EHL2!F7+'EH2'!F27</f>
        <v>0</v>
      </c>
      <c r="G7" s="74">
        <f>F7+E7</f>
        <v>1044</v>
      </c>
      <c r="H7" s="75">
        <f>G7+D7</f>
        <v>13483</v>
      </c>
    </row>
    <row r="8" spans="1:8" ht="12.75" customHeight="1">
      <c r="A8" s="6" t="s">
        <v>48</v>
      </c>
      <c r="B8" s="74">
        <f>ESL2!B8+EHL2!B8+'EH2'!B28</f>
        <v>10371</v>
      </c>
      <c r="C8" s="74">
        <f>ESL2!C8+EHL2!C8+'EH2'!C28</f>
        <v>2247</v>
      </c>
      <c r="D8" s="74">
        <f>ESL2!D8+EHL2!D8+'EH2'!D28</f>
        <v>12618</v>
      </c>
      <c r="E8" s="74">
        <f>ESL2!E8+EHL2!E8+'EH2'!E28</f>
        <v>981</v>
      </c>
      <c r="F8" s="74">
        <f>ESL2!F8+EHL2!F8+'EH2'!F28</f>
        <v>0</v>
      </c>
      <c r="G8" s="74">
        <f>F8+E8</f>
        <v>981</v>
      </c>
      <c r="H8" s="75">
        <f>G8+D8</f>
        <v>13599</v>
      </c>
    </row>
    <row r="9" spans="1:8" ht="12.75" customHeight="1">
      <c r="A9" s="15" t="s">
        <v>50</v>
      </c>
      <c r="B9" s="74">
        <f>ESL2!B9+EHL2!B9+'EH2'!B29</f>
        <v>10287</v>
      </c>
      <c r="C9" s="74">
        <f>ESL2!C9+EHL2!C9+'EH2'!C29</f>
        <v>2246</v>
      </c>
      <c r="D9" s="74">
        <f>ESL2!D9+EHL2!D9+'EH2'!D29</f>
        <v>12533</v>
      </c>
      <c r="E9" s="74">
        <f>ESL2!E9+EHL2!E9+'EH2'!E29</f>
        <v>903</v>
      </c>
      <c r="F9" s="74">
        <f>ESL2!F9+EHL2!F9+'EH2'!F29</f>
        <v>0</v>
      </c>
      <c r="G9" s="74">
        <f>F9+E9</f>
        <v>903</v>
      </c>
      <c r="H9" s="75">
        <f>G9+D9</f>
        <v>13436</v>
      </c>
    </row>
    <row r="10" spans="1:8" ht="12.75" customHeight="1">
      <c r="A10" s="15" t="s">
        <v>57</v>
      </c>
      <c r="B10" s="74">
        <f>ESL2!B10+EHL2!B10+'EH2'!B30</f>
        <v>10437</v>
      </c>
      <c r="C10" s="74">
        <f>ESL2!C10+EHL2!C10+'EH2'!C30</f>
        <v>2522</v>
      </c>
      <c r="D10" s="74">
        <f>ESL2!D10+EHL2!D10+'EH2'!D30</f>
        <v>12959</v>
      </c>
      <c r="E10" s="74">
        <f>ESL2!E10+EHL2!E10+'EH2'!E30</f>
        <v>657</v>
      </c>
      <c r="F10" s="74">
        <f>ESL2!F10+EHL2!F10+'EH2'!F30</f>
        <v>0</v>
      </c>
      <c r="G10" s="74">
        <f>F10+E10</f>
        <v>657</v>
      </c>
      <c r="H10" s="75">
        <f>G10+D10</f>
        <v>13616</v>
      </c>
    </row>
    <row r="11" spans="2:8" ht="12.75" customHeight="1">
      <c r="B11" s="9"/>
      <c r="C11" s="9"/>
      <c r="D11" s="9"/>
      <c r="E11" s="11"/>
      <c r="F11" s="9"/>
      <c r="G11" s="9"/>
      <c r="H11" s="11"/>
    </row>
    <row r="12" spans="1:5" ht="12.75" customHeight="1">
      <c r="A12" s="35"/>
      <c r="B12" s="2"/>
      <c r="C12" s="2"/>
      <c r="D12" s="2"/>
      <c r="E12" s="2"/>
    </row>
    <row r="13" spans="1:8" s="38" customFormat="1" ht="12.75" customHeight="1">
      <c r="A13" s="39" t="s">
        <v>55</v>
      </c>
      <c r="B13" s="48" t="s">
        <v>13</v>
      </c>
      <c r="C13" s="48" t="s">
        <v>13</v>
      </c>
      <c r="D13" s="48" t="s">
        <v>7</v>
      </c>
      <c r="E13" s="49" t="s">
        <v>17</v>
      </c>
      <c r="F13" s="48" t="s">
        <v>17</v>
      </c>
      <c r="G13" s="49" t="s">
        <v>7</v>
      </c>
      <c r="H13" s="49" t="s">
        <v>8</v>
      </c>
    </row>
    <row r="14" spans="2:8" s="38" customFormat="1" ht="12.75" customHeight="1">
      <c r="B14" s="50" t="s">
        <v>18</v>
      </c>
      <c r="C14" s="50" t="s">
        <v>19</v>
      </c>
      <c r="D14" s="50" t="s">
        <v>13</v>
      </c>
      <c r="E14" s="51" t="s">
        <v>20</v>
      </c>
      <c r="F14" s="50" t="s">
        <v>21</v>
      </c>
      <c r="G14" s="51" t="s">
        <v>17</v>
      </c>
      <c r="H14" s="51" t="s">
        <v>7</v>
      </c>
    </row>
    <row r="15" spans="1:8" ht="12.75" customHeight="1">
      <c r="A15" s="35"/>
      <c r="B15" s="12"/>
      <c r="C15" s="12"/>
      <c r="D15" s="12"/>
      <c r="E15" s="14"/>
      <c r="F15" s="3"/>
      <c r="G15" s="3"/>
      <c r="H15" s="8"/>
    </row>
    <row r="16" spans="1:8" ht="12.75" customHeight="1">
      <c r="A16" s="6" t="s">
        <v>42</v>
      </c>
      <c r="B16" s="24">
        <f>ESL2!B16+EHL2!B16+'EH2'!B36</f>
        <v>7861.65</v>
      </c>
      <c r="C16" s="24">
        <f>ESL2!C16+EHL2!C16+'EH2'!C36</f>
        <v>2392</v>
      </c>
      <c r="D16" s="24">
        <f>ESL2!D16+EHL2!D16+'EH2'!D36</f>
        <v>10253.649999999998</v>
      </c>
      <c r="E16" s="24">
        <f>ESL2!E16+EHL2!E16+'EH2'!E36</f>
        <v>2514.33</v>
      </c>
      <c r="F16" s="24">
        <f>ESL2!F16+EHL2!F16+'EH2'!F36</f>
        <v>0</v>
      </c>
      <c r="G16" s="27">
        <f>F16+E16</f>
        <v>2514.33</v>
      </c>
      <c r="H16" s="28">
        <f>G16+D16</f>
        <v>12767.979999999998</v>
      </c>
    </row>
    <row r="17" spans="1:8" ht="12.75" customHeight="1">
      <c r="A17" s="6" t="s">
        <v>44</v>
      </c>
      <c r="B17" s="24">
        <f>ESL2!B17+EHL2!B17+'EH2'!B37</f>
        <v>8772</v>
      </c>
      <c r="C17" s="24">
        <f>ESL2!C17+EHL2!C17+'EH2'!C37</f>
        <v>2436.85</v>
      </c>
      <c r="D17" s="24">
        <f>ESL2!D17+EHL2!D17+'EH2'!D37</f>
        <v>11208.85</v>
      </c>
      <c r="E17" s="24">
        <f>ESL2!E17+EHL2!E17+'EH2'!E37</f>
        <v>2850.12</v>
      </c>
      <c r="F17" s="24">
        <f>ESL2!F17+EHL2!F17+'EH2'!F37</f>
        <v>0</v>
      </c>
      <c r="G17" s="27">
        <f>F17+E17</f>
        <v>2850.12</v>
      </c>
      <c r="H17" s="28">
        <f>G17+D17</f>
        <v>14058.970000000001</v>
      </c>
    </row>
    <row r="18" spans="1:8" ht="12.75" customHeight="1">
      <c r="A18" s="6" t="s">
        <v>48</v>
      </c>
      <c r="B18" s="24">
        <f>ESL2!B18+EHL2!B18+'EH2'!B38</f>
        <v>8815.35</v>
      </c>
      <c r="C18" s="24">
        <f>ESL2!C18+EHL2!C18+'EH2'!C38</f>
        <v>2584.0499999999997</v>
      </c>
      <c r="D18" s="24">
        <f>ESL2!D18+EHL2!D18+'EH2'!D38</f>
        <v>11399.399999999998</v>
      </c>
      <c r="E18" s="24">
        <f>ESL2!E18+EHL2!E18+'EH2'!E38</f>
        <v>2678.13</v>
      </c>
      <c r="F18" s="24">
        <f>ESL2!F18+EHL2!F18+'EH2'!F38</f>
        <v>0</v>
      </c>
      <c r="G18" s="27">
        <f>F18+E18</f>
        <v>2678.13</v>
      </c>
      <c r="H18" s="28">
        <f>G18+D18</f>
        <v>14077.529999999999</v>
      </c>
    </row>
    <row r="19" spans="1:8" ht="12.75" customHeight="1">
      <c r="A19" s="15" t="s">
        <v>50</v>
      </c>
      <c r="B19" s="24">
        <f>ESL2!B19+EHL2!B19+'EH2'!B39</f>
        <v>8743.949999999999</v>
      </c>
      <c r="C19" s="24">
        <f>ESL2!C19+EHL2!C19+'EH2'!C39</f>
        <v>2582.9</v>
      </c>
      <c r="D19" s="24">
        <f>ESL2!D19+EHL2!D19+'EH2'!D39</f>
        <v>11326.85</v>
      </c>
      <c r="E19" s="24">
        <f>ESL2!E19+EHL2!E19+'EH2'!E39</f>
        <v>2465.19</v>
      </c>
      <c r="F19" s="24">
        <f>ESL2!F19+EHL2!F19+'EH2'!F39</f>
        <v>0</v>
      </c>
      <c r="G19" s="27">
        <f>F19+E19</f>
        <v>2465.19</v>
      </c>
      <c r="H19" s="28">
        <f>G19+D19</f>
        <v>13792.04</v>
      </c>
    </row>
    <row r="20" spans="1:8" ht="12.75" customHeight="1">
      <c r="A20" s="15" t="s">
        <v>57</v>
      </c>
      <c r="B20" s="24">
        <f>ESL2!B20+EHL2!B20+'EH2'!B40</f>
        <v>8871.45</v>
      </c>
      <c r="C20" s="24">
        <f>ESL2!C20+EHL2!C20+'EH2'!C40</f>
        <v>2900.3</v>
      </c>
      <c r="D20" s="24">
        <f>ESL2!D20+EHL2!D20+'EH2'!D40</f>
        <v>11771.75</v>
      </c>
      <c r="E20" s="24">
        <f>ESL2!E20+EHL2!E20+'EH2'!E40</f>
        <v>1793.61</v>
      </c>
      <c r="F20" s="24">
        <f>ESL2!F20+EHL2!F20+'EH2'!F40</f>
        <v>0</v>
      </c>
      <c r="G20" s="27">
        <f>F20+E20</f>
        <v>1793.61</v>
      </c>
      <c r="H20" s="28">
        <f>G20+D20</f>
        <v>13565.36</v>
      </c>
    </row>
    <row r="21" spans="2:8" ht="12.75" customHeight="1">
      <c r="B21" s="9"/>
      <c r="C21" s="9"/>
      <c r="D21" s="9"/>
      <c r="E21" s="11"/>
      <c r="F21" s="9"/>
      <c r="G21" s="9"/>
      <c r="H21" s="11"/>
    </row>
    <row r="23" spans="1:6" ht="12.75" customHeight="1">
      <c r="A23" s="95" t="s">
        <v>58</v>
      </c>
      <c r="B23" s="2"/>
      <c r="C23" s="2"/>
      <c r="D23" s="2"/>
      <c r="E23" s="2"/>
      <c r="F23" s="2"/>
    </row>
    <row r="24" spans="1:6" ht="12.75" customHeight="1">
      <c r="A24" s="35"/>
      <c r="B24" s="2"/>
      <c r="C24" s="2"/>
      <c r="D24" s="2"/>
      <c r="E24" s="2"/>
      <c r="F24" s="2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 xml:space="preserve">&amp;L&amp;8Office of Institutional Research
&amp;D (ly)
&amp;F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R399"/>
  <sheetViews>
    <sheetView workbookViewId="0" topLeftCell="A1">
      <selection activeCell="L10" sqref="L10"/>
    </sheetView>
  </sheetViews>
  <sheetFormatPr defaultColWidth="9.140625" defaultRowHeight="12.75" customHeight="1"/>
  <cols>
    <col min="1" max="1" width="20.7109375" style="2" customWidth="1"/>
    <col min="2" max="14" width="7.28125" style="2" customWidth="1"/>
    <col min="15" max="15" width="6.7109375" style="2" customWidth="1"/>
    <col min="16" max="17" width="7.28125" style="2" customWidth="1"/>
    <col min="18" max="16384" width="9.140625" style="2" customWidth="1"/>
  </cols>
  <sheetData>
    <row r="1" ht="12.75" customHeight="1">
      <c r="A1" s="18" t="s">
        <v>49</v>
      </c>
    </row>
    <row r="2" ht="12.75" customHeight="1">
      <c r="A2" s="18"/>
    </row>
    <row r="3" spans="1:18" ht="12.75" customHeight="1">
      <c r="A3"/>
      <c r="B3" s="45" t="s">
        <v>1</v>
      </c>
      <c r="C3" s="46"/>
      <c r="D3" s="45" t="s">
        <v>2</v>
      </c>
      <c r="E3" s="46"/>
      <c r="F3" s="45" t="s">
        <v>3</v>
      </c>
      <c r="G3" s="46"/>
      <c r="H3" s="45" t="s">
        <v>4</v>
      </c>
      <c r="I3" s="46"/>
      <c r="J3" s="118" t="s">
        <v>5</v>
      </c>
      <c r="K3" s="119"/>
      <c r="L3" s="118" t="s">
        <v>6</v>
      </c>
      <c r="M3" s="119"/>
      <c r="N3" s="105" t="s">
        <v>45</v>
      </c>
      <c r="O3" s="105"/>
      <c r="P3" s="45" t="s">
        <v>7</v>
      </c>
      <c r="Q3" s="46"/>
      <c r="R3" s="41" t="s">
        <v>8</v>
      </c>
    </row>
    <row r="4" spans="1:18" ht="12.75" customHeight="1">
      <c r="A4" s="6" t="s">
        <v>61</v>
      </c>
      <c r="B4" s="42" t="s">
        <v>9</v>
      </c>
      <c r="C4" s="43" t="s">
        <v>10</v>
      </c>
      <c r="D4" s="42" t="s">
        <v>9</v>
      </c>
      <c r="E4" s="43" t="s">
        <v>10</v>
      </c>
      <c r="F4" s="42" t="s">
        <v>9</v>
      </c>
      <c r="G4" s="43" t="s">
        <v>10</v>
      </c>
      <c r="H4" s="42" t="s">
        <v>9</v>
      </c>
      <c r="I4" s="43" t="s">
        <v>10</v>
      </c>
      <c r="J4" s="42" t="s">
        <v>9</v>
      </c>
      <c r="K4" s="43" t="s">
        <v>10</v>
      </c>
      <c r="L4" s="42" t="s">
        <v>9</v>
      </c>
      <c r="M4" s="43" t="s">
        <v>10</v>
      </c>
      <c r="N4" s="42" t="s">
        <v>9</v>
      </c>
      <c r="O4" s="43" t="s">
        <v>10</v>
      </c>
      <c r="P4" s="42" t="s">
        <v>9</v>
      </c>
      <c r="Q4" s="43" t="s">
        <v>10</v>
      </c>
      <c r="R4" s="44" t="s">
        <v>7</v>
      </c>
    </row>
    <row r="5" spans="1:18" ht="13.5" customHeight="1">
      <c r="A5"/>
      <c r="B5" s="3"/>
      <c r="C5" s="4"/>
      <c r="D5" s="3"/>
      <c r="E5" s="4"/>
      <c r="F5" s="3"/>
      <c r="G5" s="4"/>
      <c r="H5" s="3"/>
      <c r="I5" s="4"/>
      <c r="J5" s="3"/>
      <c r="K5" s="4"/>
      <c r="L5" s="3"/>
      <c r="M5" s="4"/>
      <c r="N5" s="106"/>
      <c r="O5" s="106"/>
      <c r="P5" s="3"/>
      <c r="Q5" s="4"/>
      <c r="R5" s="8"/>
    </row>
    <row r="6" spans="1:18" ht="12.75" customHeight="1">
      <c r="A6" s="15" t="s">
        <v>42</v>
      </c>
      <c r="B6" s="60">
        <v>5</v>
      </c>
      <c r="C6" s="61">
        <v>9</v>
      </c>
      <c r="D6" s="60">
        <v>0</v>
      </c>
      <c r="E6" s="61">
        <v>2</v>
      </c>
      <c r="F6" s="60">
        <v>1</v>
      </c>
      <c r="G6" s="61">
        <v>2</v>
      </c>
      <c r="H6" s="60">
        <v>0</v>
      </c>
      <c r="I6" s="61">
        <v>0</v>
      </c>
      <c r="J6" s="60">
        <v>0</v>
      </c>
      <c r="K6" s="61">
        <v>0</v>
      </c>
      <c r="L6" s="60">
        <v>1</v>
      </c>
      <c r="M6" s="61">
        <v>0</v>
      </c>
      <c r="N6" s="82">
        <v>0</v>
      </c>
      <c r="O6" s="82">
        <v>0</v>
      </c>
      <c r="P6" s="60">
        <f aca="true" t="shared" si="0" ref="P6:Q10">L6+J6+H6+F6+D6+B6+N6</f>
        <v>7</v>
      </c>
      <c r="Q6" s="61">
        <f t="shared" si="0"/>
        <v>13</v>
      </c>
      <c r="R6" s="62">
        <f>Q6+P6</f>
        <v>20</v>
      </c>
    </row>
    <row r="7" spans="1:18" ht="12.75" customHeight="1">
      <c r="A7" s="15" t="s">
        <v>44</v>
      </c>
      <c r="B7" s="60">
        <v>2</v>
      </c>
      <c r="C7" s="61">
        <v>10</v>
      </c>
      <c r="D7" s="60">
        <v>0</v>
      </c>
      <c r="E7" s="61">
        <v>0</v>
      </c>
      <c r="F7" s="60">
        <v>0</v>
      </c>
      <c r="G7" s="61">
        <v>1</v>
      </c>
      <c r="H7" s="60">
        <v>0</v>
      </c>
      <c r="I7" s="61">
        <v>0</v>
      </c>
      <c r="J7" s="60">
        <v>0</v>
      </c>
      <c r="K7" s="61">
        <v>0</v>
      </c>
      <c r="L7" s="60">
        <v>0</v>
      </c>
      <c r="M7" s="61">
        <v>3</v>
      </c>
      <c r="N7" s="82">
        <v>0</v>
      </c>
      <c r="O7" s="82">
        <v>0</v>
      </c>
      <c r="P7" s="60">
        <f t="shared" si="0"/>
        <v>2</v>
      </c>
      <c r="Q7" s="61">
        <f t="shared" si="0"/>
        <v>14</v>
      </c>
      <c r="R7" s="62">
        <f>Q7+P7</f>
        <v>16</v>
      </c>
    </row>
    <row r="8" spans="1:18" ht="12.75" customHeight="1">
      <c r="A8" s="15" t="s">
        <v>48</v>
      </c>
      <c r="B8" s="60">
        <v>1</v>
      </c>
      <c r="C8" s="61">
        <v>12</v>
      </c>
      <c r="D8" s="60">
        <v>0</v>
      </c>
      <c r="E8" s="61">
        <v>1</v>
      </c>
      <c r="F8" s="60">
        <v>1</v>
      </c>
      <c r="G8" s="61">
        <v>2</v>
      </c>
      <c r="H8" s="60">
        <v>0</v>
      </c>
      <c r="I8" s="61">
        <v>0</v>
      </c>
      <c r="J8" s="60">
        <v>0</v>
      </c>
      <c r="K8" s="61">
        <v>0</v>
      </c>
      <c r="L8" s="60">
        <v>0</v>
      </c>
      <c r="M8" s="61">
        <v>1</v>
      </c>
      <c r="N8" s="82">
        <v>0</v>
      </c>
      <c r="O8" s="82">
        <v>0</v>
      </c>
      <c r="P8" s="60">
        <f t="shared" si="0"/>
        <v>2</v>
      </c>
      <c r="Q8" s="61">
        <f t="shared" si="0"/>
        <v>16</v>
      </c>
      <c r="R8" s="62">
        <f>Q8+P8</f>
        <v>18</v>
      </c>
    </row>
    <row r="9" spans="1:18" ht="12.75" customHeight="1">
      <c r="A9" s="15" t="s">
        <v>50</v>
      </c>
      <c r="B9" s="60">
        <v>4</v>
      </c>
      <c r="C9" s="61">
        <v>10</v>
      </c>
      <c r="D9" s="60">
        <v>1</v>
      </c>
      <c r="E9" s="61">
        <v>1</v>
      </c>
      <c r="F9" s="60">
        <v>0</v>
      </c>
      <c r="G9" s="61">
        <v>2</v>
      </c>
      <c r="H9" s="60">
        <v>0</v>
      </c>
      <c r="I9" s="61">
        <v>0</v>
      </c>
      <c r="J9" s="60">
        <v>0</v>
      </c>
      <c r="K9" s="61">
        <v>0</v>
      </c>
      <c r="L9" s="60">
        <v>0</v>
      </c>
      <c r="M9" s="61">
        <v>0</v>
      </c>
      <c r="N9" s="82">
        <v>0</v>
      </c>
      <c r="O9" s="82">
        <v>1</v>
      </c>
      <c r="P9" s="60">
        <f t="shared" si="0"/>
        <v>5</v>
      </c>
      <c r="Q9" s="61">
        <f t="shared" si="0"/>
        <v>14</v>
      </c>
      <c r="R9" s="62">
        <f>Q9+P9</f>
        <v>19</v>
      </c>
    </row>
    <row r="10" spans="1:18" ht="12.75" customHeight="1">
      <c r="A10" s="15" t="s">
        <v>57</v>
      </c>
      <c r="B10" s="60">
        <v>0</v>
      </c>
      <c r="C10" s="61">
        <v>8</v>
      </c>
      <c r="D10" s="60">
        <v>1</v>
      </c>
      <c r="E10" s="61">
        <v>2</v>
      </c>
      <c r="F10" s="60">
        <v>0</v>
      </c>
      <c r="G10" s="61">
        <v>1</v>
      </c>
      <c r="H10" s="60">
        <v>0</v>
      </c>
      <c r="I10" s="61">
        <v>0</v>
      </c>
      <c r="J10" s="60">
        <v>0</v>
      </c>
      <c r="K10" s="61">
        <v>0</v>
      </c>
      <c r="L10" s="60">
        <v>0</v>
      </c>
      <c r="M10" s="61">
        <v>0</v>
      </c>
      <c r="N10" s="82">
        <v>1</v>
      </c>
      <c r="O10" s="82">
        <v>0</v>
      </c>
      <c r="P10" s="60">
        <f t="shared" si="0"/>
        <v>2</v>
      </c>
      <c r="Q10" s="61">
        <f t="shared" si="0"/>
        <v>11</v>
      </c>
      <c r="R10" s="62">
        <f>Q10+P10</f>
        <v>13</v>
      </c>
    </row>
    <row r="11" spans="2:18" ht="12.75" customHeight="1">
      <c r="B11" s="9"/>
      <c r="C11" s="10"/>
      <c r="D11" s="9"/>
      <c r="E11" s="10"/>
      <c r="F11" s="9"/>
      <c r="G11" s="10"/>
      <c r="H11" s="9"/>
      <c r="I11" s="10"/>
      <c r="J11" s="9"/>
      <c r="K11" s="10"/>
      <c r="L11" s="9"/>
      <c r="M11" s="10"/>
      <c r="N11" s="20"/>
      <c r="O11" s="20"/>
      <c r="P11" s="9"/>
      <c r="Q11" s="10"/>
      <c r="R11" s="11"/>
    </row>
    <row r="12" ht="12.75" customHeight="1">
      <c r="A12"/>
    </row>
    <row r="13" ht="12.75" customHeight="1">
      <c r="A13" s="6" t="s">
        <v>13</v>
      </c>
    </row>
    <row r="14" spans="1:18" ht="12.75" customHeight="1">
      <c r="A14" s="6" t="s">
        <v>11</v>
      </c>
      <c r="B14" s="45" t="s">
        <v>1</v>
      </c>
      <c r="C14" s="46"/>
      <c r="D14" s="45" t="s">
        <v>2</v>
      </c>
      <c r="E14" s="46"/>
      <c r="F14" s="45" t="s">
        <v>3</v>
      </c>
      <c r="G14" s="46"/>
      <c r="H14" s="45" t="s">
        <v>4</v>
      </c>
      <c r="I14" s="46"/>
      <c r="J14" s="45" t="s">
        <v>5</v>
      </c>
      <c r="K14" s="46"/>
      <c r="L14" s="118" t="s">
        <v>6</v>
      </c>
      <c r="M14" s="119"/>
      <c r="N14" s="105" t="s">
        <v>45</v>
      </c>
      <c r="O14" s="105"/>
      <c r="P14" s="45" t="s">
        <v>7</v>
      </c>
      <c r="Q14" s="46"/>
      <c r="R14" s="41" t="s">
        <v>8</v>
      </c>
    </row>
    <row r="15" spans="1:18" ht="12.75" customHeight="1">
      <c r="A15" s="6" t="s">
        <v>12</v>
      </c>
      <c r="B15" s="42" t="s">
        <v>9</v>
      </c>
      <c r="C15" s="43" t="s">
        <v>10</v>
      </c>
      <c r="D15" s="42" t="s">
        <v>9</v>
      </c>
      <c r="E15" s="43" t="s">
        <v>10</v>
      </c>
      <c r="F15" s="42" t="s">
        <v>9</v>
      </c>
      <c r="G15" s="43" t="s">
        <v>10</v>
      </c>
      <c r="H15" s="42" t="s">
        <v>9</v>
      </c>
      <c r="I15" s="43" t="s">
        <v>10</v>
      </c>
      <c r="J15" s="42" t="s">
        <v>9</v>
      </c>
      <c r="K15" s="43" t="s">
        <v>10</v>
      </c>
      <c r="L15" s="42" t="s">
        <v>9</v>
      </c>
      <c r="M15" s="43" t="s">
        <v>10</v>
      </c>
      <c r="N15" s="42" t="s">
        <v>9</v>
      </c>
      <c r="O15" s="43" t="s">
        <v>10</v>
      </c>
      <c r="P15" s="42" t="s">
        <v>9</v>
      </c>
      <c r="Q15" s="43" t="s">
        <v>10</v>
      </c>
      <c r="R15" s="44" t="s">
        <v>7</v>
      </c>
    </row>
    <row r="16" spans="1:18" ht="12.75" customHeight="1">
      <c r="A16" s="6"/>
      <c r="B16" s="12"/>
      <c r="C16" s="13"/>
      <c r="D16" s="12"/>
      <c r="E16" s="13"/>
      <c r="F16" s="12"/>
      <c r="G16" s="13"/>
      <c r="H16" s="12"/>
      <c r="I16" s="13"/>
      <c r="J16" s="12"/>
      <c r="K16" s="13"/>
      <c r="L16" s="12"/>
      <c r="M16" s="13"/>
      <c r="N16" s="23"/>
      <c r="O16" s="23"/>
      <c r="P16" s="12"/>
      <c r="Q16" s="13"/>
      <c r="R16" s="14"/>
    </row>
    <row r="17" spans="1:18" s="16" customFormat="1" ht="12.75" customHeight="1">
      <c r="A17" s="15" t="s">
        <v>42</v>
      </c>
      <c r="B17" s="60">
        <v>13</v>
      </c>
      <c r="C17" s="61">
        <v>33</v>
      </c>
      <c r="D17" s="60">
        <v>1</v>
      </c>
      <c r="E17" s="61">
        <v>6</v>
      </c>
      <c r="F17" s="60">
        <v>2</v>
      </c>
      <c r="G17" s="61">
        <v>7</v>
      </c>
      <c r="H17" s="60">
        <v>0</v>
      </c>
      <c r="I17" s="61">
        <v>0</v>
      </c>
      <c r="J17" s="60">
        <v>0</v>
      </c>
      <c r="K17" s="61">
        <v>1</v>
      </c>
      <c r="L17" s="60">
        <v>3</v>
      </c>
      <c r="M17" s="61">
        <v>4</v>
      </c>
      <c r="N17" s="82">
        <v>0</v>
      </c>
      <c r="O17" s="82">
        <v>0</v>
      </c>
      <c r="P17" s="60">
        <f>L17+J17+H17+F17+D17+B17</f>
        <v>19</v>
      </c>
      <c r="Q17" s="61">
        <f>M17+K17+I17+G17+E17+C17</f>
        <v>51</v>
      </c>
      <c r="R17" s="62">
        <f>Q17+P17</f>
        <v>70</v>
      </c>
    </row>
    <row r="18" spans="1:18" s="16" customFormat="1" ht="12.75" customHeight="1">
      <c r="A18" s="15" t="s">
        <v>44</v>
      </c>
      <c r="B18" s="60">
        <v>11</v>
      </c>
      <c r="C18" s="61">
        <v>39</v>
      </c>
      <c r="D18" s="60">
        <v>1</v>
      </c>
      <c r="E18" s="61">
        <v>4</v>
      </c>
      <c r="F18" s="60">
        <v>1</v>
      </c>
      <c r="G18" s="61">
        <v>8</v>
      </c>
      <c r="H18" s="60">
        <v>0</v>
      </c>
      <c r="I18" s="61">
        <v>1</v>
      </c>
      <c r="J18" s="60">
        <v>0</v>
      </c>
      <c r="K18" s="61">
        <v>1</v>
      </c>
      <c r="L18" s="60">
        <v>0</v>
      </c>
      <c r="M18" s="61">
        <v>3</v>
      </c>
      <c r="N18" s="82">
        <v>1</v>
      </c>
      <c r="O18" s="82">
        <v>0</v>
      </c>
      <c r="P18" s="60">
        <f>L18+J18+H18+F18+D18+B18+N18</f>
        <v>14</v>
      </c>
      <c r="Q18" s="61">
        <f>M18+K18+I18+G18+E18+C18</f>
        <v>56</v>
      </c>
      <c r="R18" s="62">
        <f>Q18+P18</f>
        <v>70</v>
      </c>
    </row>
    <row r="19" spans="1:18" s="16" customFormat="1" ht="12.75" customHeight="1">
      <c r="A19" s="15" t="s">
        <v>48</v>
      </c>
      <c r="B19" s="60">
        <v>9</v>
      </c>
      <c r="C19" s="61">
        <v>43</v>
      </c>
      <c r="D19" s="60">
        <v>1</v>
      </c>
      <c r="E19" s="61">
        <v>4</v>
      </c>
      <c r="F19" s="60">
        <v>1</v>
      </c>
      <c r="G19" s="61">
        <v>4</v>
      </c>
      <c r="H19" s="60">
        <v>1</v>
      </c>
      <c r="I19" s="61">
        <v>1</v>
      </c>
      <c r="J19" s="60">
        <v>0</v>
      </c>
      <c r="K19" s="61">
        <v>2</v>
      </c>
      <c r="L19" s="60">
        <v>1</v>
      </c>
      <c r="M19" s="61">
        <v>1</v>
      </c>
      <c r="N19" s="82">
        <v>0</v>
      </c>
      <c r="O19" s="82">
        <v>1</v>
      </c>
      <c r="P19" s="60">
        <f aca="true" t="shared" si="1" ref="P19:Q21">N19+L19+J19+H19+F19+D19+B19</f>
        <v>13</v>
      </c>
      <c r="Q19" s="61">
        <f t="shared" si="1"/>
        <v>56</v>
      </c>
      <c r="R19" s="62">
        <f>Q19+P19</f>
        <v>69</v>
      </c>
    </row>
    <row r="20" spans="1:18" s="16" customFormat="1" ht="12.75" customHeight="1">
      <c r="A20" s="15" t="s">
        <v>50</v>
      </c>
      <c r="B20" s="60">
        <v>13</v>
      </c>
      <c r="C20" s="61">
        <v>37</v>
      </c>
      <c r="D20" s="60">
        <v>2</v>
      </c>
      <c r="E20" s="61">
        <v>5</v>
      </c>
      <c r="F20" s="60">
        <v>1</v>
      </c>
      <c r="G20" s="61">
        <v>6</v>
      </c>
      <c r="H20" s="60">
        <v>0</v>
      </c>
      <c r="I20" s="61">
        <v>2</v>
      </c>
      <c r="J20" s="60">
        <v>0</v>
      </c>
      <c r="K20" s="61">
        <v>0</v>
      </c>
      <c r="L20" s="60">
        <v>1</v>
      </c>
      <c r="M20" s="61">
        <v>2</v>
      </c>
      <c r="N20" s="82">
        <v>1</v>
      </c>
      <c r="O20" s="82">
        <v>1</v>
      </c>
      <c r="P20" s="60">
        <f t="shared" si="1"/>
        <v>18</v>
      </c>
      <c r="Q20" s="61">
        <f t="shared" si="1"/>
        <v>53</v>
      </c>
      <c r="R20" s="62">
        <f>Q20+P20</f>
        <v>71</v>
      </c>
    </row>
    <row r="21" spans="1:18" s="16" customFormat="1" ht="12.75" customHeight="1">
      <c r="A21" s="15" t="s">
        <v>57</v>
      </c>
      <c r="B21" s="60">
        <v>18</v>
      </c>
      <c r="C21" s="61">
        <v>41</v>
      </c>
      <c r="D21" s="60">
        <v>1</v>
      </c>
      <c r="E21" s="61">
        <v>9</v>
      </c>
      <c r="F21" s="60">
        <v>5</v>
      </c>
      <c r="G21" s="61">
        <v>6</v>
      </c>
      <c r="H21" s="60">
        <v>0</v>
      </c>
      <c r="I21" s="61">
        <v>1</v>
      </c>
      <c r="J21" s="60">
        <v>0</v>
      </c>
      <c r="K21" s="61">
        <v>0</v>
      </c>
      <c r="L21" s="60">
        <v>0</v>
      </c>
      <c r="M21" s="61">
        <v>3</v>
      </c>
      <c r="N21" s="82">
        <v>3</v>
      </c>
      <c r="O21" s="82">
        <v>1</v>
      </c>
      <c r="P21" s="60">
        <f t="shared" si="1"/>
        <v>27</v>
      </c>
      <c r="Q21" s="61">
        <f t="shared" si="1"/>
        <v>61</v>
      </c>
      <c r="R21" s="62">
        <f>Q21+P21</f>
        <v>88</v>
      </c>
    </row>
    <row r="22" spans="2:18" ht="12.75" customHeight="1">
      <c r="B22" s="9"/>
      <c r="C22" s="10"/>
      <c r="D22" s="9"/>
      <c r="E22" s="10"/>
      <c r="F22" s="9"/>
      <c r="G22" s="10"/>
      <c r="H22" s="9"/>
      <c r="I22" s="10"/>
      <c r="J22" s="9"/>
      <c r="K22" s="10"/>
      <c r="L22" s="9"/>
      <c r="M22" s="10"/>
      <c r="N22" s="20"/>
      <c r="O22" s="20"/>
      <c r="P22" s="9"/>
      <c r="Q22" s="10"/>
      <c r="R22" s="11"/>
    </row>
    <row r="24" spans="1:15" ht="12.75" customHeight="1">
      <c r="A24" s="38" t="s">
        <v>47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</row>
    <row r="25" spans="1:2" ht="12.75" customHeight="1">
      <c r="A25" s="35"/>
      <c r="B25" s="38"/>
    </row>
    <row r="26" ht="12.75" customHeight="1">
      <c r="A26" s="35"/>
    </row>
    <row r="27" ht="12.75" customHeight="1">
      <c r="B27" s="35"/>
    </row>
    <row r="40" spans="1:18" s="16" customFormat="1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61" spans="1:18" s="16" customFormat="1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82" spans="1:18" s="16" customFormat="1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135" spans="1:18" s="16" customFormat="1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45" spans="1:18" s="16" customFormat="1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67" spans="1:18" s="16" customFormat="1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90" spans="1:18" s="16" customFormat="1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213" spans="1:18" s="16" customFormat="1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35" spans="1:18" s="16" customFormat="1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57" spans="1:18" s="16" customFormat="1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89" spans="1:18" s="16" customFormat="1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9" spans="1:18" s="16" customFormat="1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21" spans="1:18" s="16" customFormat="1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33" spans="1:18" s="16" customFormat="1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44" spans="1:18" s="16" customFormat="1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57" spans="1:18" s="16" customFormat="1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89" spans="1:18" s="16" customFormat="1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9" spans="1:18" s="16" customFormat="1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</row>
  </sheetData>
  <mergeCells count="3">
    <mergeCell ref="J3:K3"/>
    <mergeCell ref="L3:M3"/>
    <mergeCell ref="L14:M14"/>
  </mergeCells>
  <printOptions horizontalCentered="1"/>
  <pageMargins left="0.25" right="0.25" top="1" bottom="0.75" header="0.5" footer="0.25"/>
  <pageSetup fitToHeight="1" fitToWidth="1" horizontalDpi="300" verticalDpi="300" orientation="landscape" scale="93" r:id="rId1"/>
  <headerFooter alignWithMargins="0">
    <oddHeader>&amp;CThe University of Alabama in Huntsville
Unit Academic Reports 
</oddHeader>
    <oddFooter xml:space="preserve">&amp;L&amp;8Office of Institutional Research
&amp;D (ly)
&amp;F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M34"/>
  <sheetViews>
    <sheetView workbookViewId="0" topLeftCell="B13">
      <selection activeCell="D11" sqref="D11"/>
    </sheetView>
  </sheetViews>
  <sheetFormatPr defaultColWidth="9.140625" defaultRowHeight="12.75" customHeight="1"/>
  <cols>
    <col min="1" max="1" width="22.7109375" style="36" customWidth="1"/>
    <col min="2" max="8" width="13.7109375" style="0" customWidth="1"/>
  </cols>
  <sheetData>
    <row r="1" spans="1:5" ht="12.75" customHeight="1">
      <c r="A1" s="18" t="s">
        <v>49</v>
      </c>
      <c r="B1" s="16"/>
      <c r="C1" s="16"/>
      <c r="D1" s="16"/>
      <c r="E1" s="16"/>
    </row>
    <row r="2" spans="1:5" ht="12.75" customHeight="1">
      <c r="A2" s="18"/>
      <c r="B2" s="16"/>
      <c r="C2" s="16"/>
      <c r="D2" s="16"/>
      <c r="E2" s="16"/>
    </row>
    <row r="3" spans="1:5" ht="12.75" customHeight="1">
      <c r="A3" s="6" t="s">
        <v>13</v>
      </c>
      <c r="B3" s="2"/>
      <c r="C3" s="2"/>
      <c r="D3" s="2"/>
      <c r="E3" s="16"/>
    </row>
    <row r="4" spans="1:5" ht="12.75" customHeight="1">
      <c r="A4" s="39" t="s">
        <v>11</v>
      </c>
      <c r="B4" s="47" t="s">
        <v>16</v>
      </c>
      <c r="C4" s="47" t="s">
        <v>14</v>
      </c>
      <c r="D4" s="47" t="s">
        <v>15</v>
      </c>
      <c r="E4" s="16"/>
    </row>
    <row r="5" spans="1:5" ht="12.75" customHeight="1">
      <c r="A5" s="35"/>
      <c r="B5" s="8"/>
      <c r="C5" s="8"/>
      <c r="D5" s="8"/>
      <c r="E5" s="16"/>
    </row>
    <row r="6" spans="1:5" ht="12.75" customHeight="1">
      <c r="A6" s="15" t="s">
        <v>42</v>
      </c>
      <c r="B6" s="14">
        <v>40</v>
      </c>
      <c r="C6" s="14">
        <f>FLT!R17</f>
        <v>70</v>
      </c>
      <c r="D6" s="14">
        <v>71</v>
      </c>
      <c r="E6" s="16"/>
    </row>
    <row r="7" spans="1:5" ht="12.75" customHeight="1">
      <c r="A7" s="15" t="s">
        <v>44</v>
      </c>
      <c r="B7" s="14">
        <v>33</v>
      </c>
      <c r="C7" s="14">
        <f>FLT!R18</f>
        <v>70</v>
      </c>
      <c r="D7" s="14">
        <v>68</v>
      </c>
      <c r="E7" s="16"/>
    </row>
    <row r="8" spans="1:5" ht="12.75" customHeight="1">
      <c r="A8" s="15" t="s">
        <v>48</v>
      </c>
      <c r="B8" s="14">
        <v>35</v>
      </c>
      <c r="C8" s="14">
        <f>FLT!R19</f>
        <v>69</v>
      </c>
      <c r="D8" s="14">
        <v>68</v>
      </c>
      <c r="E8" s="16"/>
    </row>
    <row r="9" spans="1:5" ht="12.75" customHeight="1">
      <c r="A9" s="15" t="s">
        <v>50</v>
      </c>
      <c r="B9" s="14">
        <v>29</v>
      </c>
      <c r="C9" s="14">
        <f>FLT!R20</f>
        <v>71</v>
      </c>
      <c r="D9" s="14">
        <v>68</v>
      </c>
      <c r="E9" s="16"/>
    </row>
    <row r="10" spans="1:5" ht="12.75" customHeight="1">
      <c r="A10" s="15" t="s">
        <v>57</v>
      </c>
      <c r="B10" s="14">
        <v>39</v>
      </c>
      <c r="C10" s="14">
        <f>FLT!R21</f>
        <v>88</v>
      </c>
      <c r="D10" s="14">
        <v>87</v>
      </c>
      <c r="E10" s="16"/>
    </row>
    <row r="11" spans="1:5" ht="12.75" customHeight="1">
      <c r="A11" s="35"/>
      <c r="B11" s="11"/>
      <c r="C11" s="11"/>
      <c r="D11" s="11"/>
      <c r="E11" s="16"/>
    </row>
    <row r="12" spans="1:5" ht="12.75" customHeight="1">
      <c r="A12" s="35"/>
      <c r="B12" s="2"/>
      <c r="C12" s="2"/>
      <c r="D12" s="2"/>
      <c r="E12" s="16"/>
    </row>
    <row r="13" spans="1:8" s="38" customFormat="1" ht="12.75" customHeight="1">
      <c r="A13" s="39" t="s">
        <v>53</v>
      </c>
      <c r="B13" s="48" t="s">
        <v>13</v>
      </c>
      <c r="C13" s="48" t="s">
        <v>13</v>
      </c>
      <c r="D13" s="48" t="s">
        <v>7</v>
      </c>
      <c r="E13" s="49" t="s">
        <v>17</v>
      </c>
      <c r="F13" s="48" t="s">
        <v>17</v>
      </c>
      <c r="G13" s="49" t="s">
        <v>7</v>
      </c>
      <c r="H13" s="49" t="s">
        <v>8</v>
      </c>
    </row>
    <row r="14" spans="1:8" s="38" customFormat="1" ht="12.75" customHeight="1">
      <c r="A14" s="39"/>
      <c r="B14" s="50" t="s">
        <v>18</v>
      </c>
      <c r="C14" s="50" t="s">
        <v>19</v>
      </c>
      <c r="D14" s="50" t="s">
        <v>13</v>
      </c>
      <c r="E14" s="51" t="s">
        <v>20</v>
      </c>
      <c r="F14" s="50" t="s">
        <v>21</v>
      </c>
      <c r="G14" s="51" t="s">
        <v>17</v>
      </c>
      <c r="H14" s="51" t="s">
        <v>7</v>
      </c>
    </row>
    <row r="15" spans="1:8" ht="12.75" customHeight="1">
      <c r="A15" s="35"/>
      <c r="B15" s="78"/>
      <c r="C15" s="78"/>
      <c r="D15" s="78"/>
      <c r="E15" s="79"/>
      <c r="F15" s="78"/>
      <c r="G15" s="78"/>
      <c r="H15" s="79"/>
    </row>
    <row r="16" spans="1:8" ht="12.75" customHeight="1">
      <c r="A16" s="6" t="s">
        <v>42</v>
      </c>
      <c r="B16" s="74">
        <v>2768</v>
      </c>
      <c r="C16" s="74">
        <v>705</v>
      </c>
      <c r="D16" s="74">
        <f>C16+B16</f>
        <v>3473</v>
      </c>
      <c r="E16" s="75">
        <v>0</v>
      </c>
      <c r="F16" s="74">
        <v>0</v>
      </c>
      <c r="G16" s="74">
        <v>0</v>
      </c>
      <c r="H16" s="75">
        <f>G16+D16</f>
        <v>3473</v>
      </c>
    </row>
    <row r="17" spans="1:8" ht="12.75" customHeight="1">
      <c r="A17" s="6" t="s">
        <v>44</v>
      </c>
      <c r="B17" s="74">
        <v>2784</v>
      </c>
      <c r="C17" s="74">
        <v>711</v>
      </c>
      <c r="D17" s="74">
        <f>C17+B17</f>
        <v>3495</v>
      </c>
      <c r="E17" s="75">
        <v>0</v>
      </c>
      <c r="F17" s="74">
        <v>0</v>
      </c>
      <c r="G17" s="74">
        <v>0</v>
      </c>
      <c r="H17" s="75">
        <f>G17+D17</f>
        <v>3495</v>
      </c>
    </row>
    <row r="18" spans="1:8" ht="12.75" customHeight="1">
      <c r="A18" s="6" t="s">
        <v>48</v>
      </c>
      <c r="B18" s="74">
        <v>3261</v>
      </c>
      <c r="C18" s="74">
        <v>789</v>
      </c>
      <c r="D18" s="74">
        <f>C18+B18</f>
        <v>4050</v>
      </c>
      <c r="E18" s="75">
        <v>0</v>
      </c>
      <c r="F18" s="74">
        <v>0</v>
      </c>
      <c r="G18" s="74">
        <v>0</v>
      </c>
      <c r="H18" s="75">
        <f>G18+D18</f>
        <v>4050</v>
      </c>
    </row>
    <row r="19" spans="1:8" ht="12.75" customHeight="1">
      <c r="A19" s="15" t="s">
        <v>50</v>
      </c>
      <c r="B19" s="74">
        <f>507+1775+1131</f>
        <v>3413</v>
      </c>
      <c r="C19" s="74">
        <f>171+348+363</f>
        <v>882</v>
      </c>
      <c r="D19" s="74">
        <f>C19+B19</f>
        <v>4295</v>
      </c>
      <c r="E19" s="75">
        <v>0</v>
      </c>
      <c r="F19" s="74">
        <v>0</v>
      </c>
      <c r="G19" s="74">
        <v>0</v>
      </c>
      <c r="H19" s="75">
        <f>G19+D19</f>
        <v>4295</v>
      </c>
    </row>
    <row r="20" spans="1:8" ht="12.75" customHeight="1">
      <c r="A20" s="15" t="s">
        <v>57</v>
      </c>
      <c r="B20" s="74">
        <f>341+1979+1104</f>
        <v>3424</v>
      </c>
      <c r="C20" s="74">
        <f>171+252+372</f>
        <v>795</v>
      </c>
      <c r="D20" s="74">
        <f>C20+B20</f>
        <v>4219</v>
      </c>
      <c r="E20" s="75">
        <v>0</v>
      </c>
      <c r="F20" s="74">
        <v>0</v>
      </c>
      <c r="G20" s="74">
        <v>0</v>
      </c>
      <c r="H20" s="75">
        <f>G20+D20</f>
        <v>4219</v>
      </c>
    </row>
    <row r="21" spans="2:8" ht="12.75" customHeight="1">
      <c r="B21" s="76"/>
      <c r="C21" s="76"/>
      <c r="D21" s="76"/>
      <c r="E21" s="77"/>
      <c r="F21" s="76"/>
      <c r="G21" s="76"/>
      <c r="H21" s="77"/>
    </row>
    <row r="22" spans="1:5" ht="12.75" customHeight="1">
      <c r="A22" s="35"/>
      <c r="B22" s="2"/>
      <c r="C22" s="2"/>
      <c r="D22" s="2"/>
      <c r="E22" s="2"/>
    </row>
    <row r="23" spans="1:8" s="38" customFormat="1" ht="12.75" customHeight="1">
      <c r="A23" s="39" t="s">
        <v>54</v>
      </c>
      <c r="B23" s="48" t="s">
        <v>13</v>
      </c>
      <c r="C23" s="48" t="s">
        <v>13</v>
      </c>
      <c r="D23" s="48" t="s">
        <v>7</v>
      </c>
      <c r="E23" s="49" t="s">
        <v>17</v>
      </c>
      <c r="F23" s="48" t="s">
        <v>17</v>
      </c>
      <c r="G23" s="49" t="s">
        <v>7</v>
      </c>
      <c r="H23" s="49" t="s">
        <v>8</v>
      </c>
    </row>
    <row r="24" spans="2:8" s="38" customFormat="1" ht="12.75" customHeight="1">
      <c r="B24" s="50" t="s">
        <v>18</v>
      </c>
      <c r="C24" s="50" t="s">
        <v>19</v>
      </c>
      <c r="D24" s="50" t="s">
        <v>13</v>
      </c>
      <c r="E24" s="51" t="s">
        <v>20</v>
      </c>
      <c r="F24" s="50" t="s">
        <v>21</v>
      </c>
      <c r="G24" s="51" t="s">
        <v>17</v>
      </c>
      <c r="H24" s="51" t="s">
        <v>7</v>
      </c>
    </row>
    <row r="25" spans="1:8" ht="12.75" customHeight="1">
      <c r="A25" s="35"/>
      <c r="B25" s="12"/>
      <c r="C25" s="12"/>
      <c r="D25" s="12"/>
      <c r="E25" s="14"/>
      <c r="F25" s="3"/>
      <c r="G25" s="3"/>
      <c r="H25" s="8"/>
    </row>
    <row r="26" spans="1:8" ht="12.75" customHeight="1">
      <c r="A26" s="6" t="s">
        <v>42</v>
      </c>
      <c r="B26" s="24">
        <f>B16*0.85</f>
        <v>2352.7999999999997</v>
      </c>
      <c r="C26" s="24">
        <f>C16*1.15</f>
        <v>810.7499999999999</v>
      </c>
      <c r="D26" s="24">
        <f>C26+B26</f>
        <v>3163.5499999999997</v>
      </c>
      <c r="E26" s="25">
        <v>0</v>
      </c>
      <c r="F26" s="27">
        <v>0</v>
      </c>
      <c r="G26" s="27">
        <f>F26+E26</f>
        <v>0</v>
      </c>
      <c r="H26" s="28">
        <f>G26+D26</f>
        <v>3163.5499999999997</v>
      </c>
    </row>
    <row r="27" spans="1:8" ht="12.75" customHeight="1">
      <c r="A27" s="6" t="s">
        <v>44</v>
      </c>
      <c r="B27" s="24">
        <f>B17*0.85</f>
        <v>2366.4</v>
      </c>
      <c r="C27" s="24">
        <f>C17*1.15</f>
        <v>817.65</v>
      </c>
      <c r="D27" s="24">
        <f>C27+B27</f>
        <v>3184.05</v>
      </c>
      <c r="E27" s="25">
        <v>0</v>
      </c>
      <c r="F27" s="27">
        <v>0</v>
      </c>
      <c r="G27" s="27">
        <f>F27+E27</f>
        <v>0</v>
      </c>
      <c r="H27" s="28">
        <f>G27+D27</f>
        <v>3184.05</v>
      </c>
    </row>
    <row r="28" spans="1:8" ht="12.75" customHeight="1">
      <c r="A28" s="6" t="s">
        <v>48</v>
      </c>
      <c r="B28" s="24">
        <f>B18*0.85</f>
        <v>2771.85</v>
      </c>
      <c r="C28" s="24">
        <f>C18*1.15</f>
        <v>907.3499999999999</v>
      </c>
      <c r="D28" s="24">
        <f>C28+B28</f>
        <v>3679.2</v>
      </c>
      <c r="E28" s="25">
        <v>0</v>
      </c>
      <c r="F28" s="27">
        <v>0</v>
      </c>
      <c r="G28" s="27">
        <f>F28+E28</f>
        <v>0</v>
      </c>
      <c r="H28" s="28">
        <f>G28+D28</f>
        <v>3679.2</v>
      </c>
    </row>
    <row r="29" spans="1:8" ht="12.75" customHeight="1">
      <c r="A29" s="15" t="s">
        <v>50</v>
      </c>
      <c r="B29" s="24">
        <f>B19*0.85</f>
        <v>2901.0499999999997</v>
      </c>
      <c r="C29" s="24">
        <f>C19*1.15</f>
        <v>1014.3</v>
      </c>
      <c r="D29" s="24">
        <f>C29+B29</f>
        <v>3915.3499999999995</v>
      </c>
      <c r="E29" s="25">
        <v>0</v>
      </c>
      <c r="F29" s="27">
        <v>0</v>
      </c>
      <c r="G29" s="27">
        <f>F29+E29</f>
        <v>0</v>
      </c>
      <c r="H29" s="28">
        <f>G29+D29</f>
        <v>3915.3499999999995</v>
      </c>
    </row>
    <row r="30" spans="1:8" ht="12.75" customHeight="1">
      <c r="A30" s="15" t="s">
        <v>57</v>
      </c>
      <c r="B30" s="24">
        <f>B20*0.85</f>
        <v>2910.4</v>
      </c>
      <c r="C30" s="24">
        <f>C20*1.15</f>
        <v>914.2499999999999</v>
      </c>
      <c r="D30" s="24">
        <f>C30+B30</f>
        <v>3824.65</v>
      </c>
      <c r="E30" s="25">
        <v>0</v>
      </c>
      <c r="F30" s="27">
        <v>0</v>
      </c>
      <c r="G30" s="27">
        <f>F30+E30</f>
        <v>0</v>
      </c>
      <c r="H30" s="28">
        <f>G30+D30</f>
        <v>3824.65</v>
      </c>
    </row>
    <row r="31" spans="2:8" ht="12.75" customHeight="1">
      <c r="B31" s="9"/>
      <c r="C31" s="9"/>
      <c r="D31" s="9"/>
      <c r="E31" s="11"/>
      <c r="F31" s="9"/>
      <c r="G31" s="9"/>
      <c r="H31" s="11"/>
    </row>
    <row r="32" spans="1:5" ht="12.75" customHeight="1">
      <c r="A32" s="35"/>
      <c r="B32" s="2"/>
      <c r="C32" s="2"/>
      <c r="D32" s="2"/>
      <c r="E32" s="2"/>
    </row>
    <row r="33" spans="1:13" ht="12.75" customHeight="1">
      <c r="A33" s="2" t="s">
        <v>59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</row>
    <row r="34" spans="1:5" ht="12.75" customHeight="1">
      <c r="A34" s="95" t="s">
        <v>60</v>
      </c>
      <c r="B34" s="38"/>
      <c r="C34" s="2"/>
      <c r="D34" s="2"/>
      <c r="E34" s="2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 xml:space="preserve">&amp;L&amp;8Office of Institutional Research
&amp;D (ly)
&amp;F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R295"/>
  <sheetViews>
    <sheetView workbookViewId="0" topLeftCell="A1">
      <selection activeCell="D20" sqref="D20"/>
    </sheetView>
  </sheetViews>
  <sheetFormatPr defaultColWidth="9.140625" defaultRowHeight="12.75" customHeight="1"/>
  <cols>
    <col min="1" max="1" width="20.7109375" style="2" customWidth="1"/>
    <col min="2" max="17" width="7.28125" style="2" customWidth="1"/>
    <col min="18" max="16384" width="9.140625" style="2" customWidth="1"/>
  </cols>
  <sheetData>
    <row r="1" ht="12.75" customHeight="1">
      <c r="A1" s="1" t="s">
        <v>30</v>
      </c>
    </row>
    <row r="2" ht="10.5" customHeight="1">
      <c r="A2" s="1"/>
    </row>
    <row r="3" spans="1:18" ht="12.75" customHeight="1">
      <c r="A3"/>
      <c r="B3" s="45" t="s">
        <v>1</v>
      </c>
      <c r="C3" s="46"/>
      <c r="D3" s="45" t="s">
        <v>2</v>
      </c>
      <c r="E3" s="46"/>
      <c r="F3" s="45" t="s">
        <v>3</v>
      </c>
      <c r="G3" s="46"/>
      <c r="H3" s="45" t="s">
        <v>4</v>
      </c>
      <c r="I3" s="46"/>
      <c r="J3" s="45" t="s">
        <v>5</v>
      </c>
      <c r="K3" s="46"/>
      <c r="L3" s="118" t="s">
        <v>6</v>
      </c>
      <c r="M3" s="119"/>
      <c r="N3" s="105" t="s">
        <v>45</v>
      </c>
      <c r="O3" s="105"/>
      <c r="P3" s="45" t="s">
        <v>7</v>
      </c>
      <c r="Q3" s="46"/>
      <c r="R3" s="41" t="s">
        <v>8</v>
      </c>
    </row>
    <row r="4" spans="1:18" ht="12.75" customHeight="1">
      <c r="A4" s="6" t="s">
        <v>61</v>
      </c>
      <c r="B4" s="42" t="s">
        <v>9</v>
      </c>
      <c r="C4" s="43" t="s">
        <v>10</v>
      </c>
      <c r="D4" s="42" t="s">
        <v>9</v>
      </c>
      <c r="E4" s="43" t="s">
        <v>10</v>
      </c>
      <c r="F4" s="42" t="s">
        <v>9</v>
      </c>
      <c r="G4" s="43" t="s">
        <v>10</v>
      </c>
      <c r="H4" s="42" t="s">
        <v>9</v>
      </c>
      <c r="I4" s="43" t="s">
        <v>10</v>
      </c>
      <c r="J4" s="42" t="s">
        <v>9</v>
      </c>
      <c r="K4" s="43" t="s">
        <v>10</v>
      </c>
      <c r="L4" s="42" t="s">
        <v>9</v>
      </c>
      <c r="M4" s="43" t="s">
        <v>10</v>
      </c>
      <c r="N4" s="42" t="s">
        <v>9</v>
      </c>
      <c r="O4" s="43" t="s">
        <v>10</v>
      </c>
      <c r="P4" s="42" t="s">
        <v>9</v>
      </c>
      <c r="Q4" s="43" t="s">
        <v>10</v>
      </c>
      <c r="R4" s="44" t="s">
        <v>7</v>
      </c>
    </row>
    <row r="5" spans="1:18" ht="10.5" customHeight="1">
      <c r="A5"/>
      <c r="B5" s="3"/>
      <c r="C5" s="4"/>
      <c r="D5" s="3"/>
      <c r="E5" s="4"/>
      <c r="F5" s="3"/>
      <c r="G5" s="4"/>
      <c r="H5" s="3"/>
      <c r="I5" s="4"/>
      <c r="J5" s="3"/>
      <c r="K5" s="4"/>
      <c r="L5" s="3"/>
      <c r="M5" s="4"/>
      <c r="N5" s="106"/>
      <c r="O5" s="106"/>
      <c r="P5" s="3"/>
      <c r="Q5" s="4"/>
      <c r="R5" s="8"/>
    </row>
    <row r="6" spans="1:18" ht="12.75" customHeight="1">
      <c r="A6" s="15" t="s">
        <v>42</v>
      </c>
      <c r="B6" s="60">
        <v>2</v>
      </c>
      <c r="C6" s="61">
        <v>2</v>
      </c>
      <c r="D6" s="60">
        <v>0</v>
      </c>
      <c r="E6" s="61">
        <v>0</v>
      </c>
      <c r="F6" s="60">
        <v>0</v>
      </c>
      <c r="G6" s="61">
        <v>0</v>
      </c>
      <c r="H6" s="60">
        <v>0</v>
      </c>
      <c r="I6" s="61">
        <v>0</v>
      </c>
      <c r="J6" s="60">
        <v>1</v>
      </c>
      <c r="K6" s="61">
        <v>0</v>
      </c>
      <c r="L6" s="60">
        <v>0</v>
      </c>
      <c r="M6" s="61">
        <v>0</v>
      </c>
      <c r="N6" s="82">
        <v>0</v>
      </c>
      <c r="O6" s="82">
        <v>0</v>
      </c>
      <c r="P6" s="60">
        <f aca="true" t="shared" si="0" ref="P6:Q10">L6+J6+H6+F6+D6+B6</f>
        <v>3</v>
      </c>
      <c r="Q6" s="61">
        <f t="shared" si="0"/>
        <v>2</v>
      </c>
      <c r="R6" s="62">
        <f>Q6+P6</f>
        <v>5</v>
      </c>
    </row>
    <row r="7" spans="1:18" ht="12.75" customHeight="1">
      <c r="A7" s="15" t="s">
        <v>44</v>
      </c>
      <c r="B7" s="60">
        <v>11</v>
      </c>
      <c r="C7" s="61">
        <v>5</v>
      </c>
      <c r="D7" s="60">
        <v>0</v>
      </c>
      <c r="E7" s="61">
        <v>0</v>
      </c>
      <c r="F7" s="60">
        <v>0</v>
      </c>
      <c r="G7" s="61">
        <v>0</v>
      </c>
      <c r="H7" s="60">
        <v>0</v>
      </c>
      <c r="I7" s="61">
        <v>1</v>
      </c>
      <c r="J7" s="60">
        <v>0</v>
      </c>
      <c r="K7" s="61">
        <v>1</v>
      </c>
      <c r="L7" s="60">
        <v>0</v>
      </c>
      <c r="M7" s="61">
        <v>0</v>
      </c>
      <c r="N7" s="82">
        <v>0</v>
      </c>
      <c r="O7" s="82">
        <v>0</v>
      </c>
      <c r="P7" s="60">
        <f t="shared" si="0"/>
        <v>11</v>
      </c>
      <c r="Q7" s="61">
        <f t="shared" si="0"/>
        <v>7</v>
      </c>
      <c r="R7" s="62">
        <f>Q7+P7</f>
        <v>18</v>
      </c>
    </row>
    <row r="8" spans="1:18" ht="12.75" customHeight="1">
      <c r="A8" s="15" t="s">
        <v>48</v>
      </c>
      <c r="B8" s="60">
        <v>3</v>
      </c>
      <c r="C8" s="61">
        <v>0</v>
      </c>
      <c r="D8" s="60">
        <v>1</v>
      </c>
      <c r="E8" s="61">
        <v>0</v>
      </c>
      <c r="F8" s="60">
        <v>0</v>
      </c>
      <c r="G8" s="61">
        <v>0</v>
      </c>
      <c r="H8" s="60">
        <v>0</v>
      </c>
      <c r="I8" s="61">
        <v>0</v>
      </c>
      <c r="J8" s="60">
        <v>1</v>
      </c>
      <c r="K8" s="61">
        <v>0</v>
      </c>
      <c r="L8" s="60">
        <v>0</v>
      </c>
      <c r="M8" s="61">
        <v>0</v>
      </c>
      <c r="N8" s="82">
        <v>0</v>
      </c>
      <c r="O8" s="82">
        <v>0</v>
      </c>
      <c r="P8" s="60">
        <f t="shared" si="0"/>
        <v>5</v>
      </c>
      <c r="Q8" s="61">
        <f t="shared" si="0"/>
        <v>0</v>
      </c>
      <c r="R8" s="62">
        <f>Q8+P8</f>
        <v>5</v>
      </c>
    </row>
    <row r="9" spans="1:18" ht="12.75" customHeight="1">
      <c r="A9" s="15" t="s">
        <v>50</v>
      </c>
      <c r="B9" s="60">
        <v>4</v>
      </c>
      <c r="C9" s="61">
        <v>4</v>
      </c>
      <c r="D9" s="60">
        <v>0</v>
      </c>
      <c r="E9" s="61">
        <v>0</v>
      </c>
      <c r="F9" s="60">
        <v>0</v>
      </c>
      <c r="G9" s="61">
        <v>0</v>
      </c>
      <c r="H9" s="60">
        <v>0</v>
      </c>
      <c r="I9" s="61">
        <v>1</v>
      </c>
      <c r="J9" s="60">
        <v>0</v>
      </c>
      <c r="K9" s="61">
        <v>0</v>
      </c>
      <c r="L9" s="60">
        <v>0</v>
      </c>
      <c r="M9" s="61">
        <v>0</v>
      </c>
      <c r="N9" s="82">
        <v>0</v>
      </c>
      <c r="O9" s="82">
        <v>0</v>
      </c>
      <c r="P9" s="60">
        <f t="shared" si="0"/>
        <v>4</v>
      </c>
      <c r="Q9" s="61">
        <f t="shared" si="0"/>
        <v>5</v>
      </c>
      <c r="R9" s="62">
        <f>Q9+P9</f>
        <v>9</v>
      </c>
    </row>
    <row r="10" spans="1:18" ht="12.75" customHeight="1">
      <c r="A10" s="15" t="s">
        <v>57</v>
      </c>
      <c r="B10" s="60">
        <v>5</v>
      </c>
      <c r="C10" s="61">
        <v>6</v>
      </c>
      <c r="D10" s="60">
        <v>0</v>
      </c>
      <c r="E10" s="61">
        <v>0</v>
      </c>
      <c r="F10" s="60">
        <v>0</v>
      </c>
      <c r="G10" s="61">
        <v>0</v>
      </c>
      <c r="H10" s="60">
        <v>1</v>
      </c>
      <c r="I10" s="61">
        <v>0</v>
      </c>
      <c r="J10" s="60">
        <v>0</v>
      </c>
      <c r="K10" s="61">
        <v>0</v>
      </c>
      <c r="L10" s="60">
        <v>0</v>
      </c>
      <c r="M10" s="61">
        <v>0</v>
      </c>
      <c r="N10" s="82">
        <v>0</v>
      </c>
      <c r="O10" s="82">
        <v>0</v>
      </c>
      <c r="P10" s="60">
        <f t="shared" si="0"/>
        <v>6</v>
      </c>
      <c r="Q10" s="61">
        <f t="shared" si="0"/>
        <v>6</v>
      </c>
      <c r="R10" s="62">
        <f>Q10+P10</f>
        <v>12</v>
      </c>
    </row>
    <row r="11" spans="2:18" ht="12.75" customHeight="1">
      <c r="B11" s="9"/>
      <c r="C11" s="10"/>
      <c r="D11" s="9"/>
      <c r="E11" s="10"/>
      <c r="F11" s="9"/>
      <c r="G11" s="10"/>
      <c r="H11" s="9"/>
      <c r="I11" s="10"/>
      <c r="J11" s="9"/>
      <c r="K11" s="10"/>
      <c r="L11" s="9"/>
      <c r="M11" s="10"/>
      <c r="N11" s="20"/>
      <c r="O11" s="20"/>
      <c r="P11" s="9"/>
      <c r="Q11" s="10"/>
      <c r="R11" s="11"/>
    </row>
    <row r="12" spans="2:18" ht="10.5" customHeigh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2:18" ht="12.75" customHeight="1">
      <c r="B13" s="45" t="s">
        <v>1</v>
      </c>
      <c r="C13" s="46"/>
      <c r="D13" s="45" t="s">
        <v>2</v>
      </c>
      <c r="E13" s="46"/>
      <c r="F13" s="45" t="s">
        <v>3</v>
      </c>
      <c r="G13" s="46"/>
      <c r="H13" s="45" t="s">
        <v>4</v>
      </c>
      <c r="I13" s="46"/>
      <c r="J13" s="45" t="s">
        <v>5</v>
      </c>
      <c r="K13" s="46"/>
      <c r="L13" s="118" t="s">
        <v>6</v>
      </c>
      <c r="M13" s="119"/>
      <c r="N13" s="105" t="s">
        <v>45</v>
      </c>
      <c r="O13" s="105"/>
      <c r="P13" s="45" t="s">
        <v>7</v>
      </c>
      <c r="Q13" s="46"/>
      <c r="R13" s="41" t="s">
        <v>8</v>
      </c>
    </row>
    <row r="14" spans="1:18" ht="12.75" customHeight="1">
      <c r="A14" s="6" t="s">
        <v>62</v>
      </c>
      <c r="B14" s="42" t="s">
        <v>9</v>
      </c>
      <c r="C14" s="43" t="s">
        <v>10</v>
      </c>
      <c r="D14" s="42" t="s">
        <v>9</v>
      </c>
      <c r="E14" s="43" t="s">
        <v>10</v>
      </c>
      <c r="F14" s="42" t="s">
        <v>9</v>
      </c>
      <c r="G14" s="43" t="s">
        <v>10</v>
      </c>
      <c r="H14" s="42" t="s">
        <v>9</v>
      </c>
      <c r="I14" s="43" t="s">
        <v>10</v>
      </c>
      <c r="J14" s="42" t="s">
        <v>9</v>
      </c>
      <c r="K14" s="43" t="s">
        <v>10</v>
      </c>
      <c r="L14" s="42" t="s">
        <v>9</v>
      </c>
      <c r="M14" s="43" t="s">
        <v>10</v>
      </c>
      <c r="N14" s="42" t="s">
        <v>9</v>
      </c>
      <c r="O14" s="43" t="s">
        <v>10</v>
      </c>
      <c r="P14" s="42" t="s">
        <v>9</v>
      </c>
      <c r="Q14" s="43" t="s">
        <v>10</v>
      </c>
      <c r="R14" s="44" t="s">
        <v>7</v>
      </c>
    </row>
    <row r="15" spans="1:18" ht="10.5" customHeight="1">
      <c r="A15"/>
      <c r="B15" s="3"/>
      <c r="C15" s="4"/>
      <c r="D15" s="3"/>
      <c r="E15" s="4"/>
      <c r="F15" s="3"/>
      <c r="G15" s="4"/>
      <c r="H15" s="3"/>
      <c r="I15" s="4"/>
      <c r="J15" s="3"/>
      <c r="K15" s="4"/>
      <c r="L15" s="3"/>
      <c r="M15" s="4"/>
      <c r="N15" s="106"/>
      <c r="O15" s="106"/>
      <c r="P15" s="3"/>
      <c r="Q15" s="4"/>
      <c r="R15" s="8"/>
    </row>
    <row r="16" spans="1:18" ht="12.75" customHeight="1">
      <c r="A16" s="15" t="s">
        <v>42</v>
      </c>
      <c r="B16" s="60">
        <v>1</v>
      </c>
      <c r="C16" s="61">
        <v>0</v>
      </c>
      <c r="D16" s="60">
        <v>0</v>
      </c>
      <c r="E16" s="61">
        <v>0</v>
      </c>
      <c r="F16" s="60">
        <v>0</v>
      </c>
      <c r="G16" s="61">
        <v>0</v>
      </c>
      <c r="H16" s="60">
        <v>0</v>
      </c>
      <c r="I16" s="61">
        <v>0</v>
      </c>
      <c r="J16" s="60">
        <v>0</v>
      </c>
      <c r="K16" s="61">
        <v>0</v>
      </c>
      <c r="L16" s="60">
        <v>0</v>
      </c>
      <c r="M16" s="61">
        <v>0</v>
      </c>
      <c r="N16" s="82">
        <v>0</v>
      </c>
      <c r="O16" s="82">
        <v>0</v>
      </c>
      <c r="P16" s="60">
        <f aca="true" t="shared" si="1" ref="P16:Q20">L16+J16+H16+F16+D16+B16</f>
        <v>1</v>
      </c>
      <c r="Q16" s="61">
        <f t="shared" si="1"/>
        <v>0</v>
      </c>
      <c r="R16" s="62">
        <f>Q16+P16</f>
        <v>1</v>
      </c>
    </row>
    <row r="17" spans="1:18" ht="12.75" customHeight="1">
      <c r="A17" s="15" t="s">
        <v>44</v>
      </c>
      <c r="B17" s="60">
        <v>2</v>
      </c>
      <c r="C17" s="61">
        <v>3</v>
      </c>
      <c r="D17" s="60">
        <v>0</v>
      </c>
      <c r="E17" s="61">
        <v>0</v>
      </c>
      <c r="F17" s="60">
        <v>0</v>
      </c>
      <c r="G17" s="61">
        <v>0</v>
      </c>
      <c r="H17" s="60">
        <v>0</v>
      </c>
      <c r="I17" s="61">
        <v>0</v>
      </c>
      <c r="J17" s="60">
        <v>0</v>
      </c>
      <c r="K17" s="61">
        <v>0</v>
      </c>
      <c r="L17" s="60">
        <v>0</v>
      </c>
      <c r="M17" s="61">
        <v>0</v>
      </c>
      <c r="N17" s="82">
        <v>0</v>
      </c>
      <c r="O17" s="82">
        <v>0</v>
      </c>
      <c r="P17" s="60">
        <f t="shared" si="1"/>
        <v>2</v>
      </c>
      <c r="Q17" s="61">
        <f t="shared" si="1"/>
        <v>3</v>
      </c>
      <c r="R17" s="62">
        <f>Q17+P17</f>
        <v>5</v>
      </c>
    </row>
    <row r="18" spans="1:18" ht="12.75" customHeight="1">
      <c r="A18" s="15" t="s">
        <v>48</v>
      </c>
      <c r="B18" s="60">
        <v>1</v>
      </c>
      <c r="C18" s="61">
        <v>2</v>
      </c>
      <c r="D18" s="60">
        <v>0</v>
      </c>
      <c r="E18" s="61">
        <v>0</v>
      </c>
      <c r="F18" s="60">
        <v>0</v>
      </c>
      <c r="G18" s="61">
        <v>0</v>
      </c>
      <c r="H18" s="60">
        <v>0</v>
      </c>
      <c r="I18" s="61">
        <v>0</v>
      </c>
      <c r="J18" s="60">
        <v>0</v>
      </c>
      <c r="K18" s="61">
        <v>0</v>
      </c>
      <c r="L18" s="60">
        <v>0</v>
      </c>
      <c r="M18" s="61">
        <v>0</v>
      </c>
      <c r="N18" s="82">
        <v>0</v>
      </c>
      <c r="O18" s="82">
        <v>0</v>
      </c>
      <c r="P18" s="60">
        <f t="shared" si="1"/>
        <v>1</v>
      </c>
      <c r="Q18" s="61">
        <f t="shared" si="1"/>
        <v>2</v>
      </c>
      <c r="R18" s="62">
        <f>Q18+P18</f>
        <v>3</v>
      </c>
    </row>
    <row r="19" spans="1:18" ht="12.75" customHeight="1">
      <c r="A19" s="15" t="s">
        <v>50</v>
      </c>
      <c r="B19" s="60">
        <v>1</v>
      </c>
      <c r="C19" s="61">
        <v>5</v>
      </c>
      <c r="D19" s="60">
        <v>0</v>
      </c>
      <c r="E19" s="61">
        <v>0</v>
      </c>
      <c r="F19" s="60">
        <v>0</v>
      </c>
      <c r="G19" s="61">
        <v>0</v>
      </c>
      <c r="H19" s="60">
        <v>0</v>
      </c>
      <c r="I19" s="61">
        <v>0</v>
      </c>
      <c r="J19" s="60">
        <v>0</v>
      </c>
      <c r="K19" s="61">
        <v>0</v>
      </c>
      <c r="L19" s="60">
        <v>0</v>
      </c>
      <c r="M19" s="61">
        <v>0</v>
      </c>
      <c r="N19" s="82">
        <v>0</v>
      </c>
      <c r="O19" s="82">
        <v>0</v>
      </c>
      <c r="P19" s="60">
        <f t="shared" si="1"/>
        <v>1</v>
      </c>
      <c r="Q19" s="61">
        <f t="shared" si="1"/>
        <v>5</v>
      </c>
      <c r="R19" s="62">
        <f>Q19+P19</f>
        <v>6</v>
      </c>
    </row>
    <row r="20" spans="1:18" ht="12.75" customHeight="1">
      <c r="A20" s="15" t="s">
        <v>57</v>
      </c>
      <c r="B20" s="60">
        <v>2</v>
      </c>
      <c r="C20" s="61">
        <v>2</v>
      </c>
      <c r="D20" s="60">
        <v>0</v>
      </c>
      <c r="E20" s="61">
        <v>0</v>
      </c>
      <c r="F20" s="60">
        <v>0</v>
      </c>
      <c r="G20" s="61">
        <v>0</v>
      </c>
      <c r="H20" s="60">
        <v>0</v>
      </c>
      <c r="I20" s="61">
        <v>0</v>
      </c>
      <c r="J20" s="60">
        <v>0</v>
      </c>
      <c r="K20" s="61">
        <v>0</v>
      </c>
      <c r="L20" s="60">
        <v>0</v>
      </c>
      <c r="M20" s="61">
        <v>0</v>
      </c>
      <c r="N20" s="82">
        <v>0</v>
      </c>
      <c r="O20" s="82">
        <v>0</v>
      </c>
      <c r="P20" s="60">
        <f t="shared" si="1"/>
        <v>2</v>
      </c>
      <c r="Q20" s="61">
        <f t="shared" si="1"/>
        <v>2</v>
      </c>
      <c r="R20" s="62">
        <f>Q20+P20</f>
        <v>4</v>
      </c>
    </row>
    <row r="21" spans="2:18" ht="10.5" customHeight="1">
      <c r="B21" s="9"/>
      <c r="C21" s="10"/>
      <c r="D21" s="9"/>
      <c r="E21" s="10"/>
      <c r="F21" s="9"/>
      <c r="G21" s="10"/>
      <c r="H21" s="9"/>
      <c r="I21" s="10"/>
      <c r="J21" s="9"/>
      <c r="K21" s="10"/>
      <c r="L21" s="9"/>
      <c r="M21" s="10"/>
      <c r="N21" s="20"/>
      <c r="O21" s="20"/>
      <c r="P21" s="9"/>
      <c r="Q21" s="10"/>
      <c r="R21" s="11"/>
    </row>
    <row r="22" ht="10.5" customHeight="1"/>
    <row r="23" ht="12.75" customHeight="1">
      <c r="A23" s="6" t="s">
        <v>13</v>
      </c>
    </row>
    <row r="24" spans="1:18" ht="12.75" customHeight="1">
      <c r="A24" s="6" t="s">
        <v>11</v>
      </c>
      <c r="B24" s="45" t="s">
        <v>1</v>
      </c>
      <c r="C24" s="46"/>
      <c r="D24" s="45" t="s">
        <v>2</v>
      </c>
      <c r="E24" s="46"/>
      <c r="F24" s="45" t="s">
        <v>3</v>
      </c>
      <c r="G24" s="46"/>
      <c r="H24" s="45" t="s">
        <v>4</v>
      </c>
      <c r="I24" s="46"/>
      <c r="J24" s="45" t="s">
        <v>5</v>
      </c>
      <c r="K24" s="46"/>
      <c r="L24" s="118" t="s">
        <v>6</v>
      </c>
      <c r="M24" s="119"/>
      <c r="N24" s="105" t="s">
        <v>45</v>
      </c>
      <c r="O24" s="105"/>
      <c r="P24" s="45" t="s">
        <v>7</v>
      </c>
      <c r="Q24" s="46"/>
      <c r="R24" s="41" t="s">
        <v>8</v>
      </c>
    </row>
    <row r="25" spans="1:18" ht="12.75" customHeight="1">
      <c r="A25" s="6" t="s">
        <v>12</v>
      </c>
      <c r="B25" s="42" t="s">
        <v>9</v>
      </c>
      <c r="C25" s="43" t="s">
        <v>10</v>
      </c>
      <c r="D25" s="42" t="s">
        <v>9</v>
      </c>
      <c r="E25" s="43" t="s">
        <v>10</v>
      </c>
      <c r="F25" s="42" t="s">
        <v>9</v>
      </c>
      <c r="G25" s="43" t="s">
        <v>10</v>
      </c>
      <c r="H25" s="42" t="s">
        <v>9</v>
      </c>
      <c r="I25" s="43" t="s">
        <v>10</v>
      </c>
      <c r="J25" s="42" t="s">
        <v>9</v>
      </c>
      <c r="K25" s="43" t="s">
        <v>10</v>
      </c>
      <c r="L25" s="42" t="s">
        <v>9</v>
      </c>
      <c r="M25" s="43" t="s">
        <v>10</v>
      </c>
      <c r="N25" s="42" t="s">
        <v>9</v>
      </c>
      <c r="O25" s="43" t="s">
        <v>10</v>
      </c>
      <c r="P25" s="42" t="s">
        <v>9</v>
      </c>
      <c r="Q25" s="43" t="s">
        <v>10</v>
      </c>
      <c r="R25" s="44" t="s">
        <v>7</v>
      </c>
    </row>
    <row r="26" spans="1:18" ht="10.5" customHeight="1">
      <c r="A26" s="6"/>
      <c r="B26" s="12"/>
      <c r="C26" s="13"/>
      <c r="D26" s="12"/>
      <c r="E26" s="13"/>
      <c r="F26" s="12"/>
      <c r="G26" s="13"/>
      <c r="H26" s="12"/>
      <c r="I26" s="13"/>
      <c r="J26" s="12"/>
      <c r="K26" s="13"/>
      <c r="L26" s="12"/>
      <c r="M26" s="23"/>
      <c r="N26" s="21"/>
      <c r="O26" s="23"/>
      <c r="P26" s="12"/>
      <c r="Q26" s="13"/>
      <c r="R26" s="14"/>
    </row>
    <row r="27" spans="1:18" s="16" customFormat="1" ht="12.75" customHeight="1">
      <c r="A27" s="91" t="s">
        <v>42</v>
      </c>
      <c r="B27" s="60">
        <v>32</v>
      </c>
      <c r="C27" s="82">
        <v>14</v>
      </c>
      <c r="D27" s="60">
        <v>3</v>
      </c>
      <c r="E27" s="82">
        <v>1</v>
      </c>
      <c r="F27" s="60">
        <v>0</v>
      </c>
      <c r="G27" s="82">
        <v>0</v>
      </c>
      <c r="H27" s="60">
        <v>0</v>
      </c>
      <c r="I27" s="82">
        <v>1</v>
      </c>
      <c r="J27" s="60">
        <v>1</v>
      </c>
      <c r="K27" s="82">
        <v>1</v>
      </c>
      <c r="L27" s="60">
        <v>0</v>
      </c>
      <c r="M27" s="82">
        <v>1</v>
      </c>
      <c r="N27" s="60">
        <v>0</v>
      </c>
      <c r="O27" s="82">
        <v>0</v>
      </c>
      <c r="P27" s="60">
        <f aca="true" t="shared" si="2" ref="P27:Q31">L27+J27+H27+F27+D27+B27</f>
        <v>36</v>
      </c>
      <c r="Q27" s="82">
        <f t="shared" si="2"/>
        <v>18</v>
      </c>
      <c r="R27" s="62">
        <f>Q27+P27</f>
        <v>54</v>
      </c>
    </row>
    <row r="28" spans="1:18" s="16" customFormat="1" ht="12.75" customHeight="1">
      <c r="A28" s="15" t="s">
        <v>44</v>
      </c>
      <c r="B28" s="60">
        <v>42</v>
      </c>
      <c r="C28" s="82">
        <v>20</v>
      </c>
      <c r="D28" s="60">
        <v>4</v>
      </c>
      <c r="E28" s="82">
        <v>2</v>
      </c>
      <c r="F28" s="60">
        <v>0</v>
      </c>
      <c r="G28" s="82">
        <v>0</v>
      </c>
      <c r="H28" s="60">
        <v>0</v>
      </c>
      <c r="I28" s="82">
        <v>2</v>
      </c>
      <c r="J28" s="60">
        <v>1</v>
      </c>
      <c r="K28" s="82">
        <v>1</v>
      </c>
      <c r="L28" s="60">
        <v>2</v>
      </c>
      <c r="M28" s="82">
        <v>1</v>
      </c>
      <c r="N28" s="60">
        <v>0</v>
      </c>
      <c r="O28" s="82">
        <v>0</v>
      </c>
      <c r="P28" s="60">
        <f t="shared" si="2"/>
        <v>49</v>
      </c>
      <c r="Q28" s="82">
        <f t="shared" si="2"/>
        <v>26</v>
      </c>
      <c r="R28" s="62">
        <f>Q28+P28</f>
        <v>75</v>
      </c>
    </row>
    <row r="29" spans="1:18" s="16" customFormat="1" ht="12.75" customHeight="1">
      <c r="A29" s="15" t="s">
        <v>48</v>
      </c>
      <c r="B29" s="60">
        <v>42</v>
      </c>
      <c r="C29" s="82">
        <v>27</v>
      </c>
      <c r="D29" s="60">
        <v>4</v>
      </c>
      <c r="E29" s="82">
        <v>1</v>
      </c>
      <c r="F29" s="60">
        <v>1</v>
      </c>
      <c r="G29" s="82">
        <v>0</v>
      </c>
      <c r="H29" s="60">
        <v>0</v>
      </c>
      <c r="I29" s="82">
        <v>1</v>
      </c>
      <c r="J29" s="60">
        <v>1</v>
      </c>
      <c r="K29" s="82">
        <v>0</v>
      </c>
      <c r="L29" s="60">
        <v>1</v>
      </c>
      <c r="M29" s="82">
        <v>1</v>
      </c>
      <c r="N29" s="60">
        <v>0</v>
      </c>
      <c r="O29" s="82">
        <v>0</v>
      </c>
      <c r="P29" s="60">
        <f t="shared" si="2"/>
        <v>49</v>
      </c>
      <c r="Q29" s="82">
        <f t="shared" si="2"/>
        <v>30</v>
      </c>
      <c r="R29" s="62">
        <f>Q29+P29</f>
        <v>79</v>
      </c>
    </row>
    <row r="30" spans="1:18" s="16" customFormat="1" ht="12.75" customHeight="1">
      <c r="A30" s="15" t="s">
        <v>50</v>
      </c>
      <c r="B30" s="60">
        <v>36</v>
      </c>
      <c r="C30" s="82">
        <v>33</v>
      </c>
      <c r="D30" s="60">
        <v>2</v>
      </c>
      <c r="E30" s="82">
        <v>3</v>
      </c>
      <c r="F30" s="60">
        <v>0</v>
      </c>
      <c r="G30" s="82">
        <v>0</v>
      </c>
      <c r="H30" s="60">
        <v>1</v>
      </c>
      <c r="I30" s="82">
        <v>1</v>
      </c>
      <c r="J30" s="60">
        <v>0</v>
      </c>
      <c r="K30" s="82">
        <v>0</v>
      </c>
      <c r="L30" s="60">
        <v>1</v>
      </c>
      <c r="M30" s="82">
        <v>0</v>
      </c>
      <c r="N30" s="60">
        <v>0</v>
      </c>
      <c r="O30" s="82">
        <v>0</v>
      </c>
      <c r="P30" s="60">
        <f t="shared" si="2"/>
        <v>40</v>
      </c>
      <c r="Q30" s="82">
        <f t="shared" si="2"/>
        <v>37</v>
      </c>
      <c r="R30" s="62">
        <f>Q30+P30</f>
        <v>77</v>
      </c>
    </row>
    <row r="31" spans="1:18" s="16" customFormat="1" ht="12.75" customHeight="1">
      <c r="A31" s="15" t="s">
        <v>57</v>
      </c>
      <c r="B31" s="60">
        <v>36</v>
      </c>
      <c r="C31" s="82">
        <v>38</v>
      </c>
      <c r="D31" s="60">
        <v>1</v>
      </c>
      <c r="E31" s="82">
        <v>4</v>
      </c>
      <c r="F31" s="60">
        <v>2</v>
      </c>
      <c r="G31" s="82">
        <v>1</v>
      </c>
      <c r="H31" s="60">
        <v>2</v>
      </c>
      <c r="I31" s="82">
        <v>0</v>
      </c>
      <c r="J31" s="60">
        <v>0</v>
      </c>
      <c r="K31" s="82">
        <v>0</v>
      </c>
      <c r="L31" s="60">
        <v>0</v>
      </c>
      <c r="M31" s="82">
        <v>0</v>
      </c>
      <c r="N31" s="60">
        <v>0</v>
      </c>
      <c r="O31" s="82">
        <v>0</v>
      </c>
      <c r="P31" s="60">
        <f t="shared" si="2"/>
        <v>41</v>
      </c>
      <c r="Q31" s="82">
        <f t="shared" si="2"/>
        <v>43</v>
      </c>
      <c r="R31" s="62">
        <f>Q31+P31</f>
        <v>84</v>
      </c>
    </row>
    <row r="32" spans="2:18" ht="10.5" customHeight="1">
      <c r="B32" s="30"/>
      <c r="C32" s="29"/>
      <c r="D32" s="30"/>
      <c r="E32" s="29"/>
      <c r="F32" s="30"/>
      <c r="G32" s="29"/>
      <c r="H32" s="30"/>
      <c r="I32" s="29"/>
      <c r="J32" s="30"/>
      <c r="K32" s="29"/>
      <c r="L32" s="30"/>
      <c r="M32" s="29"/>
      <c r="N32" s="30"/>
      <c r="O32" s="29"/>
      <c r="P32" s="30"/>
      <c r="Q32" s="29"/>
      <c r="R32" s="31"/>
    </row>
    <row r="33" spans="1:18" ht="10.5" customHeight="1">
      <c r="A33" s="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</row>
    <row r="34" ht="12.75" customHeight="1">
      <c r="A34" s="6" t="s">
        <v>17</v>
      </c>
    </row>
    <row r="35" spans="1:18" ht="12.75" customHeight="1">
      <c r="A35" s="6" t="s">
        <v>11</v>
      </c>
      <c r="B35" s="45" t="s">
        <v>1</v>
      </c>
      <c r="C35" s="46"/>
      <c r="D35" s="45" t="s">
        <v>2</v>
      </c>
      <c r="E35" s="46"/>
      <c r="F35" s="45" t="s">
        <v>3</v>
      </c>
      <c r="G35" s="46"/>
      <c r="H35" s="45" t="s">
        <v>4</v>
      </c>
      <c r="I35" s="46"/>
      <c r="J35" s="45" t="s">
        <v>5</v>
      </c>
      <c r="K35" s="46"/>
      <c r="L35" s="118" t="s">
        <v>6</v>
      </c>
      <c r="M35" s="119"/>
      <c r="N35" s="105" t="s">
        <v>45</v>
      </c>
      <c r="O35" s="105"/>
      <c r="P35" s="45" t="s">
        <v>7</v>
      </c>
      <c r="Q35" s="46"/>
      <c r="R35" s="41" t="s">
        <v>8</v>
      </c>
    </row>
    <row r="36" spans="1:18" ht="12.75" customHeight="1">
      <c r="A36" s="6" t="s">
        <v>12</v>
      </c>
      <c r="B36" s="42" t="s">
        <v>9</v>
      </c>
      <c r="C36" s="43" t="s">
        <v>10</v>
      </c>
      <c r="D36" s="42" t="s">
        <v>9</v>
      </c>
      <c r="E36" s="43" t="s">
        <v>10</v>
      </c>
      <c r="F36" s="42" t="s">
        <v>9</v>
      </c>
      <c r="G36" s="43" t="s">
        <v>10</v>
      </c>
      <c r="H36" s="42" t="s">
        <v>9</v>
      </c>
      <c r="I36" s="43" t="s">
        <v>10</v>
      </c>
      <c r="J36" s="42" t="s">
        <v>9</v>
      </c>
      <c r="K36" s="43" t="s">
        <v>10</v>
      </c>
      <c r="L36" s="42" t="s">
        <v>9</v>
      </c>
      <c r="M36" s="43" t="s">
        <v>10</v>
      </c>
      <c r="N36" s="42" t="s">
        <v>9</v>
      </c>
      <c r="O36" s="43" t="s">
        <v>10</v>
      </c>
      <c r="P36" s="42" t="s">
        <v>9</v>
      </c>
      <c r="Q36" s="43" t="s">
        <v>10</v>
      </c>
      <c r="R36" s="44" t="s">
        <v>7</v>
      </c>
    </row>
    <row r="37" spans="1:18" ht="10.5" customHeight="1">
      <c r="A37" s="6"/>
      <c r="B37" s="12"/>
      <c r="C37" s="13"/>
      <c r="D37" s="12"/>
      <c r="E37" s="13"/>
      <c r="F37" s="12"/>
      <c r="G37" s="13"/>
      <c r="H37" s="12"/>
      <c r="I37" s="13"/>
      <c r="J37" s="12"/>
      <c r="K37" s="13"/>
      <c r="L37" s="12"/>
      <c r="M37" s="23"/>
      <c r="N37" s="21"/>
      <c r="O37" s="23"/>
      <c r="P37" s="12"/>
      <c r="Q37" s="13"/>
      <c r="R37" s="14"/>
    </row>
    <row r="38" spans="1:18" s="16" customFormat="1" ht="12.75" customHeight="1">
      <c r="A38" s="91" t="s">
        <v>42</v>
      </c>
      <c r="B38" s="60">
        <v>6</v>
      </c>
      <c r="C38" s="82">
        <v>6</v>
      </c>
      <c r="D38" s="60">
        <v>0</v>
      </c>
      <c r="E38" s="82">
        <v>0</v>
      </c>
      <c r="F38" s="60">
        <v>0</v>
      </c>
      <c r="G38" s="82">
        <v>0</v>
      </c>
      <c r="H38" s="60">
        <v>0</v>
      </c>
      <c r="I38" s="82">
        <v>0</v>
      </c>
      <c r="J38" s="60">
        <v>0</v>
      </c>
      <c r="K38" s="82">
        <v>0</v>
      </c>
      <c r="L38" s="60">
        <v>0</v>
      </c>
      <c r="M38" s="82">
        <v>0</v>
      </c>
      <c r="N38" s="60">
        <v>0</v>
      </c>
      <c r="O38" s="82">
        <v>0</v>
      </c>
      <c r="P38" s="60">
        <f aca="true" t="shared" si="3" ref="P38:Q42">L38+J38+H38+F38+D38+B38</f>
        <v>6</v>
      </c>
      <c r="Q38" s="82">
        <f t="shared" si="3"/>
        <v>6</v>
      </c>
      <c r="R38" s="62">
        <f>Q38+P38</f>
        <v>12</v>
      </c>
    </row>
    <row r="39" spans="1:18" s="16" customFormat="1" ht="12.75" customHeight="1">
      <c r="A39" s="15" t="s">
        <v>44</v>
      </c>
      <c r="B39" s="60">
        <v>4</v>
      </c>
      <c r="C39" s="82">
        <v>9</v>
      </c>
      <c r="D39" s="60">
        <v>0</v>
      </c>
      <c r="E39" s="82">
        <v>0</v>
      </c>
      <c r="F39" s="60">
        <v>0</v>
      </c>
      <c r="G39" s="82">
        <v>0</v>
      </c>
      <c r="H39" s="60">
        <v>0</v>
      </c>
      <c r="I39" s="82">
        <v>0</v>
      </c>
      <c r="J39" s="60">
        <v>0</v>
      </c>
      <c r="K39" s="82">
        <v>0</v>
      </c>
      <c r="L39" s="60">
        <v>0</v>
      </c>
      <c r="M39" s="82">
        <v>0</v>
      </c>
      <c r="N39" s="60">
        <v>0</v>
      </c>
      <c r="O39" s="82">
        <v>0</v>
      </c>
      <c r="P39" s="60">
        <f t="shared" si="3"/>
        <v>4</v>
      </c>
      <c r="Q39" s="82">
        <f t="shared" si="3"/>
        <v>9</v>
      </c>
      <c r="R39" s="62">
        <f>Q39+P39</f>
        <v>13</v>
      </c>
    </row>
    <row r="40" spans="1:18" s="16" customFormat="1" ht="12.75" customHeight="1">
      <c r="A40" s="15" t="s">
        <v>48</v>
      </c>
      <c r="B40" s="60">
        <v>7</v>
      </c>
      <c r="C40" s="82">
        <v>8</v>
      </c>
      <c r="D40" s="60">
        <v>0</v>
      </c>
      <c r="E40" s="82">
        <v>0</v>
      </c>
      <c r="F40" s="60">
        <v>0</v>
      </c>
      <c r="G40" s="82">
        <v>0</v>
      </c>
      <c r="H40" s="60">
        <v>0</v>
      </c>
      <c r="I40" s="82">
        <v>0</v>
      </c>
      <c r="J40" s="60">
        <v>0</v>
      </c>
      <c r="K40" s="82">
        <v>0</v>
      </c>
      <c r="L40" s="60">
        <v>0</v>
      </c>
      <c r="M40" s="82">
        <v>0</v>
      </c>
      <c r="N40" s="60">
        <v>0</v>
      </c>
      <c r="O40" s="82">
        <v>0</v>
      </c>
      <c r="P40" s="60">
        <f t="shared" si="3"/>
        <v>7</v>
      </c>
      <c r="Q40" s="82">
        <f t="shared" si="3"/>
        <v>8</v>
      </c>
      <c r="R40" s="62">
        <f>Q40+P40</f>
        <v>15</v>
      </c>
    </row>
    <row r="41" spans="1:18" s="16" customFormat="1" ht="12.75" customHeight="1">
      <c r="A41" s="15" t="s">
        <v>50</v>
      </c>
      <c r="B41" s="60">
        <v>8</v>
      </c>
      <c r="C41" s="82">
        <v>4</v>
      </c>
      <c r="D41" s="60">
        <v>0</v>
      </c>
      <c r="E41" s="82">
        <v>0</v>
      </c>
      <c r="F41" s="60">
        <v>0</v>
      </c>
      <c r="G41" s="82">
        <v>0</v>
      </c>
      <c r="H41" s="60">
        <v>0</v>
      </c>
      <c r="I41" s="82">
        <v>0</v>
      </c>
      <c r="J41" s="60">
        <v>0</v>
      </c>
      <c r="K41" s="82">
        <v>0</v>
      </c>
      <c r="L41" s="60">
        <v>0</v>
      </c>
      <c r="M41" s="82">
        <v>0</v>
      </c>
      <c r="N41" s="60">
        <v>0</v>
      </c>
      <c r="O41" s="82">
        <v>0</v>
      </c>
      <c r="P41" s="60">
        <f t="shared" si="3"/>
        <v>8</v>
      </c>
      <c r="Q41" s="82">
        <f t="shared" si="3"/>
        <v>4</v>
      </c>
      <c r="R41" s="62">
        <f>Q41+P41</f>
        <v>12</v>
      </c>
    </row>
    <row r="42" spans="1:18" s="16" customFormat="1" ht="12.75" customHeight="1">
      <c r="A42" s="15" t="s">
        <v>57</v>
      </c>
      <c r="B42" s="60">
        <v>10</v>
      </c>
      <c r="C42" s="82">
        <v>4</v>
      </c>
      <c r="D42" s="60">
        <v>0</v>
      </c>
      <c r="E42" s="82">
        <v>0</v>
      </c>
      <c r="F42" s="60">
        <v>0</v>
      </c>
      <c r="G42" s="82">
        <v>0</v>
      </c>
      <c r="H42" s="60">
        <v>0</v>
      </c>
      <c r="I42" s="82">
        <v>0</v>
      </c>
      <c r="J42" s="60">
        <v>0</v>
      </c>
      <c r="K42" s="82">
        <v>0</v>
      </c>
      <c r="L42" s="60">
        <v>0</v>
      </c>
      <c r="M42" s="82">
        <v>0</v>
      </c>
      <c r="N42" s="60">
        <v>0</v>
      </c>
      <c r="O42" s="82">
        <v>0</v>
      </c>
      <c r="P42" s="60">
        <f t="shared" si="3"/>
        <v>10</v>
      </c>
      <c r="Q42" s="82">
        <f t="shared" si="3"/>
        <v>4</v>
      </c>
      <c r="R42" s="62">
        <f>Q42+P42</f>
        <v>14</v>
      </c>
    </row>
    <row r="43" spans="2:18" ht="10.5" customHeight="1">
      <c r="B43" s="30"/>
      <c r="C43" s="29"/>
      <c r="D43" s="30"/>
      <c r="E43" s="29"/>
      <c r="F43" s="30"/>
      <c r="G43" s="29"/>
      <c r="H43" s="30"/>
      <c r="I43" s="29"/>
      <c r="J43" s="30"/>
      <c r="K43" s="29"/>
      <c r="L43" s="30"/>
      <c r="M43" s="29"/>
      <c r="N43" s="30"/>
      <c r="O43" s="29"/>
      <c r="P43" s="30"/>
      <c r="Q43" s="29"/>
      <c r="R43" s="31"/>
    </row>
    <row r="44" spans="1:18" ht="12.75" customHeight="1">
      <c r="A44" s="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</row>
    <row r="45" ht="12.75" customHeight="1">
      <c r="A45" s="35"/>
    </row>
    <row r="46" spans="1:2" ht="12.75" customHeight="1">
      <c r="A46" s="35"/>
      <c r="B46" s="35"/>
    </row>
    <row r="47" spans="1:15" ht="12.75" customHeight="1">
      <c r="A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</row>
    <row r="63" spans="1:18" s="16" customFormat="1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86" spans="1:18" s="16" customFormat="1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109" spans="1:18" s="16" customFormat="1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31" spans="1:18" s="16" customFormat="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53" spans="1:18" s="16" customFormat="1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85" spans="1:18" s="16" customFormat="1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95" spans="1:18" s="16" customFormat="1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217" spans="1:18" s="16" customFormat="1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29" spans="1:18" s="16" customFormat="1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40" spans="1:18" s="16" customFormat="1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53" spans="1:18" s="16" customFormat="1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85" spans="1:18" s="16" customFormat="1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95" spans="1:18" s="16" customFormat="1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</sheetData>
  <mergeCells count="4">
    <mergeCell ref="L35:M35"/>
    <mergeCell ref="L24:M24"/>
    <mergeCell ref="L13:M13"/>
    <mergeCell ref="L3:M3"/>
  </mergeCells>
  <printOptions horizontalCentered="1"/>
  <pageMargins left="0.25" right="0.25" top="1" bottom="0.75" header="0.5" footer="0.25"/>
  <pageSetup fitToHeight="1" fitToWidth="1" horizontalDpi="300" verticalDpi="300" orientation="landscape" scale="91" r:id="rId1"/>
  <headerFooter alignWithMargins="0">
    <oddHeader>&amp;CThe University of Alabama in Huntsville
Unit Academic Reports 
</oddHeader>
    <oddFooter xml:space="preserve">&amp;L&amp;8Office of Institutional Research
&amp;D (ly)
&amp;F 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M302"/>
  <sheetViews>
    <sheetView workbookViewId="0" topLeftCell="A7">
      <selection activeCell="D20" sqref="D20"/>
    </sheetView>
  </sheetViews>
  <sheetFormatPr defaultColWidth="9.140625" defaultRowHeight="12.75" customHeight="1"/>
  <cols>
    <col min="1" max="1" width="22.7109375" style="35" customWidth="1"/>
    <col min="2" max="8" width="13.7109375" style="2" customWidth="1"/>
    <col min="9" max="16384" width="9.140625" style="2" customWidth="1"/>
  </cols>
  <sheetData>
    <row r="1" spans="1:8" ht="12.75" customHeight="1">
      <c r="A1" s="1" t="s">
        <v>30</v>
      </c>
      <c r="B1" s="16"/>
      <c r="C1" s="16"/>
      <c r="D1" s="16"/>
      <c r="E1" s="16"/>
      <c r="F1"/>
      <c r="G1"/>
      <c r="H1"/>
    </row>
    <row r="2" spans="1:8" ht="12.75" customHeight="1">
      <c r="A2" s="6"/>
      <c r="F2"/>
      <c r="G2"/>
      <c r="H2"/>
    </row>
    <row r="3" spans="1:7" ht="12.75" customHeight="1">
      <c r="A3" s="6" t="s">
        <v>13</v>
      </c>
      <c r="E3"/>
      <c r="F3"/>
      <c r="G3"/>
    </row>
    <row r="4" spans="1:4" s="38" customFormat="1" ht="12.75" customHeight="1">
      <c r="A4" s="39" t="s">
        <v>11</v>
      </c>
      <c r="B4" s="47" t="s">
        <v>16</v>
      </c>
      <c r="C4" s="47" t="s">
        <v>14</v>
      </c>
      <c r="D4" s="47" t="s">
        <v>15</v>
      </c>
    </row>
    <row r="5" spans="2:7" ht="12.75" customHeight="1">
      <c r="B5" s="8"/>
      <c r="C5" s="8"/>
      <c r="D5" s="8"/>
      <c r="E5"/>
      <c r="F5"/>
      <c r="G5"/>
    </row>
    <row r="6" spans="1:7" s="16" customFormat="1" ht="12.75" customHeight="1">
      <c r="A6" s="15" t="s">
        <v>42</v>
      </c>
      <c r="B6" s="14">
        <v>26</v>
      </c>
      <c r="C6" s="14">
        <f>'HY'!R27</f>
        <v>54</v>
      </c>
      <c r="D6" s="14">
        <v>67</v>
      </c>
      <c r="E6" s="26"/>
      <c r="F6" s="26"/>
      <c r="G6" s="26"/>
    </row>
    <row r="7" spans="1:7" s="16" customFormat="1" ht="12.75" customHeight="1">
      <c r="A7" s="15" t="s">
        <v>44</v>
      </c>
      <c r="B7" s="14">
        <v>25</v>
      </c>
      <c r="C7" s="14">
        <f>'HY'!R28</f>
        <v>75</v>
      </c>
      <c r="D7" s="14">
        <v>73</v>
      </c>
      <c r="E7" s="26"/>
      <c r="F7" s="26"/>
      <c r="G7" s="26"/>
    </row>
    <row r="8" spans="1:7" s="16" customFormat="1" ht="12.75" customHeight="1">
      <c r="A8" s="6" t="s">
        <v>48</v>
      </c>
      <c r="B8" s="14">
        <v>31</v>
      </c>
      <c r="C8" s="14">
        <f>'HY'!R29</f>
        <v>79</v>
      </c>
      <c r="D8" s="14">
        <v>66</v>
      </c>
      <c r="E8" s="26"/>
      <c r="F8" s="26"/>
      <c r="G8" s="26"/>
    </row>
    <row r="9" spans="1:7" s="16" customFormat="1" ht="12.75" customHeight="1">
      <c r="A9" s="15" t="s">
        <v>50</v>
      </c>
      <c r="B9" s="14">
        <v>35</v>
      </c>
      <c r="C9" s="14">
        <f>'HY'!R30</f>
        <v>77</v>
      </c>
      <c r="D9" s="14">
        <v>72</v>
      </c>
      <c r="E9" s="26"/>
      <c r="F9" s="26"/>
      <c r="G9" s="26"/>
    </row>
    <row r="10" spans="1:7" s="16" customFormat="1" ht="12.75" customHeight="1">
      <c r="A10" s="15" t="s">
        <v>57</v>
      </c>
      <c r="B10" s="14">
        <v>40</v>
      </c>
      <c r="C10" s="14">
        <f>'HY'!R31</f>
        <v>84</v>
      </c>
      <c r="D10" s="14">
        <v>84</v>
      </c>
      <c r="E10" s="26"/>
      <c r="F10" s="26"/>
      <c r="G10" s="26"/>
    </row>
    <row r="11" spans="1:7" ht="12.75" customHeight="1">
      <c r="A11" s="6"/>
      <c r="B11" s="7"/>
      <c r="C11" s="7"/>
      <c r="D11" s="7"/>
      <c r="E11"/>
      <c r="F11"/>
      <c r="G11"/>
    </row>
    <row r="12" ht="12.75" customHeight="1">
      <c r="A12" s="36"/>
    </row>
    <row r="13" spans="1:7" ht="12.75" customHeight="1">
      <c r="A13" s="6" t="s">
        <v>17</v>
      </c>
      <c r="E13"/>
      <c r="F13"/>
      <c r="G13"/>
    </row>
    <row r="14" spans="1:4" s="38" customFormat="1" ht="12.75" customHeight="1">
      <c r="A14" s="39" t="s">
        <v>11</v>
      </c>
      <c r="B14" s="47" t="s">
        <v>16</v>
      </c>
      <c r="C14" s="47" t="s">
        <v>14</v>
      </c>
      <c r="D14" s="47" t="s">
        <v>15</v>
      </c>
    </row>
    <row r="15" spans="2:7" ht="12.75" customHeight="1">
      <c r="B15" s="8"/>
      <c r="C15" s="8"/>
      <c r="D15" s="8"/>
      <c r="E15"/>
      <c r="F15"/>
      <c r="G15"/>
    </row>
    <row r="16" spans="1:7" s="16" customFormat="1" ht="12.75" customHeight="1">
      <c r="A16" s="15" t="s">
        <v>42</v>
      </c>
      <c r="B16" s="14">
        <v>1</v>
      </c>
      <c r="C16" s="14">
        <f>'HY'!R38</f>
        <v>12</v>
      </c>
      <c r="D16" s="14">
        <v>12</v>
      </c>
      <c r="E16" s="26"/>
      <c r="F16" s="26"/>
      <c r="G16" s="26"/>
    </row>
    <row r="17" spans="1:7" s="16" customFormat="1" ht="12.75" customHeight="1">
      <c r="A17" s="15" t="s">
        <v>44</v>
      </c>
      <c r="B17" s="14">
        <v>6</v>
      </c>
      <c r="C17" s="14">
        <f>'HY'!R39</f>
        <v>13</v>
      </c>
      <c r="D17" s="14">
        <v>15</v>
      </c>
      <c r="E17" s="26"/>
      <c r="F17" s="26"/>
      <c r="G17" s="26"/>
    </row>
    <row r="18" spans="1:7" s="16" customFormat="1" ht="12.75" customHeight="1">
      <c r="A18" s="6" t="s">
        <v>48</v>
      </c>
      <c r="B18" s="14">
        <v>6</v>
      </c>
      <c r="C18" s="14">
        <f>'HY'!R40</f>
        <v>15</v>
      </c>
      <c r="D18" s="14">
        <v>17</v>
      </c>
      <c r="E18" s="26"/>
      <c r="F18" s="26"/>
      <c r="G18" s="26"/>
    </row>
    <row r="19" spans="1:7" s="16" customFormat="1" ht="12.75" customHeight="1">
      <c r="A19" s="15" t="s">
        <v>50</v>
      </c>
      <c r="B19" s="14">
        <v>9</v>
      </c>
      <c r="C19" s="14">
        <f>'HY'!R41</f>
        <v>12</v>
      </c>
      <c r="D19" s="14">
        <v>10</v>
      </c>
      <c r="E19" s="26"/>
      <c r="F19" s="26"/>
      <c r="G19" s="26"/>
    </row>
    <row r="20" spans="1:7" s="16" customFormat="1" ht="12.75" customHeight="1">
      <c r="A20" s="15" t="s">
        <v>57</v>
      </c>
      <c r="B20" s="14">
        <v>4</v>
      </c>
      <c r="C20" s="14">
        <f>'HY'!R42</f>
        <v>14</v>
      </c>
      <c r="D20" s="14">
        <v>16</v>
      </c>
      <c r="E20" s="26"/>
      <c r="F20" s="26"/>
      <c r="G20" s="26"/>
    </row>
    <row r="21" spans="1:7" ht="12.75" customHeight="1">
      <c r="A21" s="6"/>
      <c r="B21" s="7"/>
      <c r="C21" s="7"/>
      <c r="D21" s="7"/>
      <c r="E21"/>
      <c r="F21"/>
      <c r="G21"/>
    </row>
    <row r="22" spans="6:8" ht="12.75" customHeight="1">
      <c r="F22"/>
      <c r="G22"/>
      <c r="H22"/>
    </row>
    <row r="23" spans="1:8" s="38" customFormat="1" ht="12.75" customHeight="1">
      <c r="A23" s="39" t="s">
        <v>56</v>
      </c>
      <c r="B23" s="48" t="s">
        <v>13</v>
      </c>
      <c r="C23" s="48" t="s">
        <v>13</v>
      </c>
      <c r="D23" s="48" t="s">
        <v>7</v>
      </c>
      <c r="E23" s="48" t="s">
        <v>17</v>
      </c>
      <c r="F23" s="48" t="s">
        <v>17</v>
      </c>
      <c r="G23" s="49" t="s">
        <v>7</v>
      </c>
      <c r="H23" s="49" t="s">
        <v>8</v>
      </c>
    </row>
    <row r="24" spans="1:8" s="38" customFormat="1" ht="12.75" customHeight="1">
      <c r="A24" s="39"/>
      <c r="B24" s="50" t="s">
        <v>18</v>
      </c>
      <c r="C24" s="50" t="s">
        <v>19</v>
      </c>
      <c r="D24" s="50" t="s">
        <v>13</v>
      </c>
      <c r="E24" s="50" t="s">
        <v>20</v>
      </c>
      <c r="F24" s="50" t="s">
        <v>21</v>
      </c>
      <c r="G24" s="51" t="s">
        <v>17</v>
      </c>
      <c r="H24" s="51" t="s">
        <v>7</v>
      </c>
    </row>
    <row r="25" spans="2:8" ht="12.75" customHeight="1">
      <c r="B25" s="3"/>
      <c r="C25" s="3"/>
      <c r="D25" s="3"/>
      <c r="E25" s="3"/>
      <c r="F25" s="3"/>
      <c r="G25" s="3"/>
      <c r="H25" s="8"/>
    </row>
    <row r="26" spans="1:8" ht="12.75" customHeight="1">
      <c r="A26" s="6" t="s">
        <v>42</v>
      </c>
      <c r="B26" s="74">
        <v>4026</v>
      </c>
      <c r="C26" s="74">
        <v>567</v>
      </c>
      <c r="D26" s="74">
        <f>C26+B26</f>
        <v>4593</v>
      </c>
      <c r="E26" s="74">
        <v>132</v>
      </c>
      <c r="F26" s="74">
        <v>0</v>
      </c>
      <c r="G26" s="74">
        <f>F26+E26</f>
        <v>132</v>
      </c>
      <c r="H26" s="75">
        <f>G26+D26</f>
        <v>4725</v>
      </c>
    </row>
    <row r="27" spans="1:8" ht="12.75" customHeight="1">
      <c r="A27" s="6" t="s">
        <v>44</v>
      </c>
      <c r="B27" s="74">
        <v>4536</v>
      </c>
      <c r="C27" s="74">
        <v>663</v>
      </c>
      <c r="D27" s="74">
        <f>C27+B27</f>
        <v>5199</v>
      </c>
      <c r="E27" s="74">
        <v>171</v>
      </c>
      <c r="F27" s="74">
        <v>0</v>
      </c>
      <c r="G27" s="74">
        <f>F27+E27</f>
        <v>171</v>
      </c>
      <c r="H27" s="75">
        <f>G27+D27</f>
        <v>5370</v>
      </c>
    </row>
    <row r="28" spans="1:8" ht="12.75" customHeight="1">
      <c r="A28" s="6" t="s">
        <v>48</v>
      </c>
      <c r="B28" s="74">
        <v>4557</v>
      </c>
      <c r="C28" s="74">
        <v>648</v>
      </c>
      <c r="D28" s="74">
        <f>C28+B28</f>
        <v>5205</v>
      </c>
      <c r="E28" s="74">
        <v>228</v>
      </c>
      <c r="F28" s="74">
        <v>0</v>
      </c>
      <c r="G28" s="74">
        <f>F28+E28</f>
        <v>228</v>
      </c>
      <c r="H28" s="75">
        <f>G28+D28</f>
        <v>5433</v>
      </c>
    </row>
    <row r="29" spans="1:8" ht="12.75" customHeight="1">
      <c r="A29" s="15" t="s">
        <v>50</v>
      </c>
      <c r="B29" s="74">
        <f>504+2226+1908</f>
        <v>4638</v>
      </c>
      <c r="C29" s="74">
        <f>36+384+342</f>
        <v>762</v>
      </c>
      <c r="D29" s="74">
        <f>C29+B29</f>
        <v>5400</v>
      </c>
      <c r="E29" s="74">
        <f>33+87+72</f>
        <v>192</v>
      </c>
      <c r="F29" s="74">
        <v>0</v>
      </c>
      <c r="G29" s="74">
        <f>F29+E29</f>
        <v>192</v>
      </c>
      <c r="H29" s="75">
        <f>G29+D29</f>
        <v>5592</v>
      </c>
    </row>
    <row r="30" spans="1:8" ht="12.75" customHeight="1">
      <c r="A30" s="15" t="s">
        <v>57</v>
      </c>
      <c r="B30" s="74">
        <f>516+2337+2130</f>
        <v>4983</v>
      </c>
      <c r="C30" s="74">
        <f>66+312+402</f>
        <v>780</v>
      </c>
      <c r="D30" s="74">
        <f>C30+B30</f>
        <v>5763</v>
      </c>
      <c r="E30" s="74">
        <f>93+78</f>
        <v>171</v>
      </c>
      <c r="F30" s="74">
        <v>0</v>
      </c>
      <c r="G30" s="74">
        <f>F30+E30</f>
        <v>171</v>
      </c>
      <c r="H30" s="75">
        <f>G30+D30</f>
        <v>5934</v>
      </c>
    </row>
    <row r="31" spans="2:8" ht="12.75" customHeight="1">
      <c r="B31" s="11"/>
      <c r="C31" s="11"/>
      <c r="D31" s="11"/>
      <c r="E31" s="11"/>
      <c r="F31" s="11"/>
      <c r="G31" s="11"/>
      <c r="H31" s="11"/>
    </row>
    <row r="32" spans="1:5" ht="12.75" customHeight="1">
      <c r="A32" s="36"/>
      <c r="B32"/>
      <c r="C32"/>
      <c r="D32"/>
      <c r="E32"/>
    </row>
    <row r="33" spans="1:8" s="38" customFormat="1" ht="12.75" customHeight="1">
      <c r="A33" s="39" t="s">
        <v>55</v>
      </c>
      <c r="B33" s="48" t="s">
        <v>13</v>
      </c>
      <c r="C33" s="48" t="s">
        <v>13</v>
      </c>
      <c r="D33" s="48" t="s">
        <v>7</v>
      </c>
      <c r="E33" s="48" t="s">
        <v>17</v>
      </c>
      <c r="F33" s="48" t="s">
        <v>22</v>
      </c>
      <c r="G33" s="48" t="s">
        <v>23</v>
      </c>
      <c r="H33" s="49" t="s">
        <v>8</v>
      </c>
    </row>
    <row r="34" spans="2:8" s="38" customFormat="1" ht="12.75" customHeight="1">
      <c r="B34" s="50" t="s">
        <v>18</v>
      </c>
      <c r="C34" s="50" t="s">
        <v>19</v>
      </c>
      <c r="D34" s="50" t="s">
        <v>13</v>
      </c>
      <c r="E34" s="50" t="s">
        <v>20</v>
      </c>
      <c r="F34" s="50" t="s">
        <v>21</v>
      </c>
      <c r="G34" s="50" t="s">
        <v>17</v>
      </c>
      <c r="H34" s="51" t="s">
        <v>7</v>
      </c>
    </row>
    <row r="35" spans="2:8" ht="12.75" customHeight="1">
      <c r="B35" s="12"/>
      <c r="C35" s="12"/>
      <c r="D35" s="12"/>
      <c r="E35" s="12"/>
      <c r="F35" s="12"/>
      <c r="G35" s="12"/>
      <c r="H35" s="14"/>
    </row>
    <row r="36" spans="1:8" ht="12.75" customHeight="1">
      <c r="A36" s="6" t="s">
        <v>42</v>
      </c>
      <c r="B36" s="24">
        <f>B26*0.85</f>
        <v>3422.1</v>
      </c>
      <c r="C36" s="24">
        <f>C26*1.15</f>
        <v>652.05</v>
      </c>
      <c r="D36" s="24">
        <f>C36+B36</f>
        <v>4074.1499999999996</v>
      </c>
      <c r="E36" s="24">
        <f>E26*2.73</f>
        <v>360.36</v>
      </c>
      <c r="F36" s="24">
        <v>0</v>
      </c>
      <c r="G36" s="24">
        <f>F36+E36</f>
        <v>360.36</v>
      </c>
      <c r="H36" s="25">
        <f>G36+D36</f>
        <v>4434.509999999999</v>
      </c>
    </row>
    <row r="37" spans="1:8" ht="12.75" customHeight="1">
      <c r="A37" s="6" t="s">
        <v>44</v>
      </c>
      <c r="B37" s="24">
        <f>B27*0.85</f>
        <v>3855.6</v>
      </c>
      <c r="C37" s="24">
        <f>C27*1.15</f>
        <v>762.4499999999999</v>
      </c>
      <c r="D37" s="24">
        <f>C37+B37</f>
        <v>4618.05</v>
      </c>
      <c r="E37" s="24">
        <f>E27*2.73</f>
        <v>466.83</v>
      </c>
      <c r="F37" s="24">
        <v>0</v>
      </c>
      <c r="G37" s="24">
        <f>F37+E37</f>
        <v>466.83</v>
      </c>
      <c r="H37" s="25">
        <f>G37+D37</f>
        <v>5084.88</v>
      </c>
    </row>
    <row r="38" spans="1:8" ht="12.75" customHeight="1">
      <c r="A38" s="6" t="s">
        <v>48</v>
      </c>
      <c r="B38" s="24">
        <f>B28*0.85</f>
        <v>3873.45</v>
      </c>
      <c r="C38" s="24">
        <f>C28*1.15</f>
        <v>745.1999999999999</v>
      </c>
      <c r="D38" s="24">
        <f>C38+B38</f>
        <v>4618.65</v>
      </c>
      <c r="E38" s="24">
        <f>E28*2.73</f>
        <v>622.4399999999999</v>
      </c>
      <c r="F38" s="24">
        <v>0</v>
      </c>
      <c r="G38" s="24">
        <f>F38+E38</f>
        <v>622.4399999999999</v>
      </c>
      <c r="H38" s="25">
        <f>G38+D38</f>
        <v>5241.089999999999</v>
      </c>
    </row>
    <row r="39" spans="1:8" ht="12.75" customHeight="1">
      <c r="A39" s="15" t="s">
        <v>50</v>
      </c>
      <c r="B39" s="24">
        <f>B29*0.85</f>
        <v>3942.2999999999997</v>
      </c>
      <c r="C39" s="24">
        <f>C29*1.15</f>
        <v>876.3</v>
      </c>
      <c r="D39" s="24">
        <f>C39+B39</f>
        <v>4818.599999999999</v>
      </c>
      <c r="E39" s="24">
        <f>E29*2.73</f>
        <v>524.16</v>
      </c>
      <c r="F39" s="24">
        <v>0</v>
      </c>
      <c r="G39" s="24">
        <f>F39+E39</f>
        <v>524.16</v>
      </c>
      <c r="H39" s="25">
        <f>G39+D39</f>
        <v>5342.759999999999</v>
      </c>
    </row>
    <row r="40" spans="1:8" ht="12.75" customHeight="1">
      <c r="A40" s="15" t="s">
        <v>57</v>
      </c>
      <c r="B40" s="24">
        <f>B30*0.85</f>
        <v>4235.55</v>
      </c>
      <c r="C40" s="24">
        <f>C30*1.15</f>
        <v>896.9999999999999</v>
      </c>
      <c r="D40" s="24">
        <f>C40+B40</f>
        <v>5132.55</v>
      </c>
      <c r="E40" s="24">
        <f>E30*2.73</f>
        <v>466.83</v>
      </c>
      <c r="F40" s="24">
        <v>0</v>
      </c>
      <c r="G40" s="24">
        <f>F40+E40</f>
        <v>466.83</v>
      </c>
      <c r="H40" s="25">
        <f>G40+D40</f>
        <v>5599.38</v>
      </c>
    </row>
    <row r="41" spans="2:8" ht="12.75" customHeight="1">
      <c r="B41" s="11"/>
      <c r="C41" s="11"/>
      <c r="D41" s="11"/>
      <c r="E41" s="11"/>
      <c r="F41" s="11"/>
      <c r="G41" s="11"/>
      <c r="H41" s="11"/>
    </row>
    <row r="42" spans="6:8" ht="12.75" customHeight="1">
      <c r="F42"/>
      <c r="G42"/>
      <c r="H42"/>
    </row>
    <row r="43" ht="12.75" customHeight="1">
      <c r="A43" s="95" t="s">
        <v>58</v>
      </c>
    </row>
    <row r="50" spans="1:13" s="16" customFormat="1" ht="12.75" customHeight="1">
      <c r="A50" s="3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83" spans="1:13" s="16" customFormat="1" ht="12.75" customHeight="1">
      <c r="A83" s="35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117" spans="1:13" s="16" customFormat="1" ht="12.75" customHeight="1">
      <c r="A117" s="35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50" spans="1:13" s="16" customFormat="1" ht="12.75" customHeight="1">
      <c r="A150" s="35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205" spans="1:13" s="16" customFormat="1" ht="12.75" customHeight="1">
      <c r="A205" s="35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37" spans="1:13" s="16" customFormat="1" ht="12.75" customHeight="1">
      <c r="A237" s="35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48" spans="1:13" s="16" customFormat="1" ht="12.75" customHeight="1">
      <c r="A248" s="35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81" spans="1:13" s="16" customFormat="1" ht="12.75" customHeight="1">
      <c r="A281" s="35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93" spans="1:13" s="16" customFormat="1" ht="12.75" customHeight="1">
      <c r="A293" s="35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302" spans="1:13" s="16" customFormat="1" ht="12.75" customHeight="1">
      <c r="A302" s="35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</sheetData>
  <printOptions horizontalCentered="1"/>
  <pageMargins left="0.25" right="0.25" top="1" bottom="0.75" header="0.5" footer="0.25"/>
  <pageSetup fitToHeight="1" fitToWidth="1" horizontalDpi="300" verticalDpi="300" orientation="landscape" scale="90" r:id="rId1"/>
  <headerFooter alignWithMargins="0">
    <oddHeader>&amp;CThe University of Alabama in Huntsville
Unit Academic Reports 
</oddHeader>
    <oddFooter xml:space="preserve">&amp;L&amp;8Office of Institutional Research
&amp;D (ly)
&amp;F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H46"/>
  <sheetViews>
    <sheetView workbookViewId="0" topLeftCell="A1">
      <selection activeCell="K15" sqref="K15"/>
    </sheetView>
  </sheetViews>
  <sheetFormatPr defaultColWidth="9.140625" defaultRowHeight="12.75" customHeight="1"/>
  <cols>
    <col min="1" max="1" width="22.7109375" style="35" customWidth="1"/>
    <col min="2" max="8" width="13.7109375" style="2" customWidth="1"/>
    <col min="9" max="16384" width="9.140625" style="2" customWidth="1"/>
  </cols>
  <sheetData>
    <row r="1" spans="1:8" ht="12.75" customHeight="1">
      <c r="A1" s="19" t="s">
        <v>39</v>
      </c>
      <c r="B1" s="16"/>
      <c r="C1" s="16"/>
      <c r="D1" s="16"/>
      <c r="E1" s="16"/>
      <c r="F1" s="16"/>
      <c r="G1" s="16"/>
      <c r="H1" s="16"/>
    </row>
    <row r="2" spans="1:8" ht="9.75" customHeight="1">
      <c r="A2" s="19"/>
      <c r="B2" s="16"/>
      <c r="C2" s="16"/>
      <c r="D2" s="16"/>
      <c r="E2" s="16"/>
      <c r="F2" s="16"/>
      <c r="G2" s="16"/>
      <c r="H2" s="16"/>
    </row>
    <row r="3" spans="1:8" ht="12.75" customHeight="1">
      <c r="A3" s="1" t="s">
        <v>7</v>
      </c>
      <c r="B3" s="16"/>
      <c r="C3" s="16"/>
      <c r="D3" s="16"/>
      <c r="E3" s="16"/>
      <c r="F3" s="16"/>
      <c r="G3" s="16"/>
      <c r="H3" s="16"/>
    </row>
    <row r="4" spans="1:8" ht="9.75" customHeight="1">
      <c r="A4" s="1"/>
      <c r="B4" s="16"/>
      <c r="C4" s="16"/>
      <c r="D4" s="16"/>
      <c r="E4" s="16"/>
      <c r="F4" s="16"/>
      <c r="G4" s="16"/>
      <c r="H4" s="16"/>
    </row>
    <row r="5" spans="1:8" ht="12.75" customHeight="1">
      <c r="A5" s="6" t="s">
        <v>13</v>
      </c>
      <c r="F5" s="16"/>
      <c r="G5" s="16"/>
      <c r="H5" s="16"/>
    </row>
    <row r="6" spans="1:4" s="38" customFormat="1" ht="12.75" customHeight="1">
      <c r="A6" s="39" t="s">
        <v>11</v>
      </c>
      <c r="B6" s="47" t="s">
        <v>16</v>
      </c>
      <c r="C6" s="47" t="s">
        <v>14</v>
      </c>
      <c r="D6" s="47" t="s">
        <v>15</v>
      </c>
    </row>
    <row r="7" spans="1:7" s="55" customFormat="1" ht="9.75" customHeight="1">
      <c r="A7" s="52"/>
      <c r="B7" s="53"/>
      <c r="C7" s="53"/>
      <c r="D7" s="53"/>
      <c r="E7" s="54"/>
      <c r="F7" s="54"/>
      <c r="G7" s="54"/>
    </row>
    <row r="8" spans="1:7" s="58" customFormat="1" ht="12.75" customHeight="1">
      <c r="A8" s="94" t="s">
        <v>42</v>
      </c>
      <c r="B8" s="92">
        <f>'PEN&amp;UND2'!B6+SOC2!B6+PY2!B6+PSC2!B6+PHL2!B6+MU2!B6+'HY2'!B6+FLT2!B6+'EH2'!B6+'ED2'!B6+'CM2'!B6+ART2!B6</f>
        <v>436</v>
      </c>
      <c r="C8" s="92">
        <f>'PEN&amp;UND2'!C6+SOC2!C6+PY2!C6+PSC2!C6+PHL2!C6+MU2!C6+'HY2'!C6+FLT2!C6+'EH2'!C6+'ED2'!C6+'CM2'!C6+ART2!C6</f>
        <v>971</v>
      </c>
      <c r="D8" s="92">
        <f>'PEN&amp;UND2'!D6+SOC2!D6+PY2!D6+PSC2!D6+PHL2!D6+MU2!D6+'HY2'!D6+FLT2!D6+'EH2'!D6+'ED2'!D6+'CM2'!D6+ART2!D6</f>
        <v>926</v>
      </c>
      <c r="E8" s="57"/>
      <c r="F8" s="57"/>
      <c r="G8" s="57"/>
    </row>
    <row r="9" spans="1:7" s="58" customFormat="1" ht="12.75" customHeight="1">
      <c r="A9" s="56" t="s">
        <v>44</v>
      </c>
      <c r="B9" s="92">
        <f>'PEN&amp;UND2'!B7+SOC2!B7+PY2!B7+PSC2!B7+PHL2!B7+MU2!B7+'HY2'!B7+FLT2!B7+'EH2'!B7+'ED2'!B7+'CM2'!B7+ART2!B7</f>
        <v>432</v>
      </c>
      <c r="C9" s="92">
        <f>'PEN&amp;UND2'!C7+SOC2!C7+PY2!C7+PSC2!C7+PHL2!C7+MU2!C7+'HY2'!C7+FLT2!C7+'EH2'!C7+'ED2'!C7+'CM2'!C7+ART2!C7</f>
        <v>1018</v>
      </c>
      <c r="D9" s="92">
        <f>'PEN&amp;UND2'!D7+SOC2!D7+PY2!D7+PSC2!D7+PHL2!D7+MU2!D7+'HY2'!D7+FLT2!D7+'EH2'!D7+'ED2'!D7+'CM2'!D7+ART2!D7</f>
        <v>991</v>
      </c>
      <c r="E9" s="57"/>
      <c r="F9" s="57"/>
      <c r="G9" s="57"/>
    </row>
    <row r="10" spans="1:7" s="58" customFormat="1" ht="12.75" customHeight="1">
      <c r="A10" s="56" t="s">
        <v>48</v>
      </c>
      <c r="B10" s="92">
        <f>'PEN&amp;UND2'!B8+SOC2!B8+PY2!B8+PSC2!B8+PHL2!B8+MU2!B8+'HY2'!B8+FLT2!B8+'EH2'!B8+'ED2'!B8+'CM2'!B8+ART2!B8</f>
        <v>452</v>
      </c>
      <c r="C10" s="92">
        <f>'PEN&amp;UND2'!C8+SOC2!C8+PY2!C8+PSC2!C8+PHL2!C8+MU2!C8+'HY2'!C8+FLT2!C8+'EH2'!C8+'ED2'!C8+'CM2'!C8+ART2!C8</f>
        <v>1101</v>
      </c>
      <c r="D10" s="92">
        <f>'PEN&amp;UND2'!D8+SOC2!D8+PY2!D8+PSC2!D8+PHL2!D8+MU2!D8+'HY2'!D8+FLT2!D8+'EH2'!D8+'ED2'!D8+'CM2'!D8+ART2!D8</f>
        <v>1028</v>
      </c>
      <c r="E10" s="57"/>
      <c r="F10" s="57"/>
      <c r="G10" s="57"/>
    </row>
    <row r="11" spans="1:7" s="58" customFormat="1" ht="12.75" customHeight="1">
      <c r="A11" s="56" t="s">
        <v>50</v>
      </c>
      <c r="B11" s="92">
        <f>'PEN&amp;UND2'!B9+SOC2!B9+PY2!B9+PSC2!B9+PHL2!B9+MU2!B9+'HY2'!B9+FLT2!B9+'EH2'!B9+'ED2'!B9+'CM2'!B9+ART2!B9</f>
        <v>480</v>
      </c>
      <c r="C11" s="92">
        <f>'PEN&amp;UND2'!C9+SOC2!C9+PY2!C9+PSC2!C9+PHL2!C9+MU2!C9+'HY2'!C9+FLT2!C9+'EH2'!C9+'ED2'!C9+'CM2'!C9+ART2!C9</f>
        <v>1144</v>
      </c>
      <c r="D11" s="92">
        <f>'PEN&amp;UND2'!D9+SOC2!D9+PY2!D9+PSC2!D9+PHL2!D9+MU2!D9+'HY2'!D9+FLT2!D9+'EH2'!D9+'ED2'!D9+'CM2'!D9+ART2!D9</f>
        <v>1055</v>
      </c>
      <c r="E11" s="57"/>
      <c r="F11" s="57"/>
      <c r="G11" s="57"/>
    </row>
    <row r="12" spans="1:7" s="58" customFormat="1" ht="12.75" customHeight="1">
      <c r="A12" s="15" t="s">
        <v>57</v>
      </c>
      <c r="B12" s="92">
        <f>'PEN&amp;UND2'!B10+SOC2!B10+PY2!B10+PSC2!B10+PHL2!B10+MU2!B10+'HY2'!B10+FLT2!B10+'EH2'!B10+'ED2'!B10+'CM2'!B10+ART2!B10</f>
        <v>485</v>
      </c>
      <c r="C12" s="92">
        <f>'PEN&amp;UND2'!C10+SOC2!C10+PY2!C10+PSC2!C10+PHL2!C10+MU2!C10+'HY2'!C10+FLT2!C10+'EH2'!C10+'ED2'!C10+'CM2'!C10+ART2!C10</f>
        <v>1169</v>
      </c>
      <c r="D12" s="92">
        <f>'PEN&amp;UND2'!D10+SOC2!D10+PY2!D10+PSC2!D10+PHL2!D10+MU2!D10+'HY2'!D10+FLT2!D10+'EH2'!D10+'ED2'!D10+'CM2'!D10+ART2!D10</f>
        <v>1089</v>
      </c>
      <c r="E12" s="57"/>
      <c r="F12" s="57"/>
      <c r="G12" s="57"/>
    </row>
    <row r="13" spans="1:7" ht="9.75" customHeight="1">
      <c r="A13" s="6"/>
      <c r="B13" s="7"/>
      <c r="C13" s="7"/>
      <c r="D13" s="7"/>
      <c r="E13"/>
      <c r="F13"/>
      <c r="G13"/>
    </row>
    <row r="14" ht="9.75" customHeight="1">
      <c r="A14" s="36"/>
    </row>
    <row r="15" spans="1:7" ht="12.75" customHeight="1">
      <c r="A15" s="6" t="s">
        <v>17</v>
      </c>
      <c r="E15"/>
      <c r="F15"/>
      <c r="G15"/>
    </row>
    <row r="16" spans="1:4" s="38" customFormat="1" ht="12.75" customHeight="1">
      <c r="A16" s="39" t="s">
        <v>11</v>
      </c>
      <c r="B16" s="47" t="s">
        <v>16</v>
      </c>
      <c r="C16" s="47" t="s">
        <v>14</v>
      </c>
      <c r="D16" s="47" t="s">
        <v>15</v>
      </c>
    </row>
    <row r="17" spans="2:7" ht="9.75" customHeight="1">
      <c r="B17" s="8"/>
      <c r="C17" s="8"/>
      <c r="D17" s="8"/>
      <c r="E17"/>
      <c r="F17"/>
      <c r="G17"/>
    </row>
    <row r="18" spans="1:7" s="16" customFormat="1" ht="12.75" customHeight="1">
      <c r="A18" s="94" t="s">
        <v>42</v>
      </c>
      <c r="B18" s="93">
        <f>PA2!B6+PY2!B16+'HY2'!B16+'EH2'!B16+TSOL!B6+CTC!B6</f>
        <v>44</v>
      </c>
      <c r="C18" s="93">
        <f>LA!R40</f>
        <v>102</v>
      </c>
      <c r="D18" s="93">
        <f>PA2!D6+PY2!D16+'HY2'!D16+'EH2'!D16+TSOL!D6+CTC!D6</f>
        <v>109</v>
      </c>
      <c r="E18" s="26"/>
      <c r="F18" s="26"/>
      <c r="G18" s="26"/>
    </row>
    <row r="19" spans="1:7" s="16" customFormat="1" ht="12.75" customHeight="1">
      <c r="A19" s="56" t="s">
        <v>44</v>
      </c>
      <c r="B19" s="93">
        <f>PA2!B7+PY2!B17+'HY2'!B17+'EH2'!B17+TSOL!B7+CTC!B7</f>
        <v>56</v>
      </c>
      <c r="C19" s="93">
        <f>LA!R41</f>
        <v>112</v>
      </c>
      <c r="D19" s="93">
        <f>PA2!D7+PY2!D17+'HY2'!D17+'EH2'!D17+TSOL!D7+CTC!D7</f>
        <v>123</v>
      </c>
      <c r="E19" s="26"/>
      <c r="F19" s="26"/>
      <c r="G19" s="26"/>
    </row>
    <row r="20" spans="1:7" s="16" customFormat="1" ht="12.75" customHeight="1">
      <c r="A20" s="56" t="s">
        <v>48</v>
      </c>
      <c r="B20" s="93">
        <f>PA2!B8+PY2!B18+'HY2'!B18+'EH2'!B18+TSOL!B8+CTC!B8</f>
        <v>67</v>
      </c>
      <c r="C20" s="93">
        <f>LA!R42</f>
        <v>120</v>
      </c>
      <c r="D20" s="93">
        <f>PA2!D8+PY2!D18+'HY2'!D18+'EH2'!D18+TSOL!D8+CTC!D8</f>
        <v>121</v>
      </c>
      <c r="E20" s="26"/>
      <c r="F20" s="26"/>
      <c r="G20" s="26"/>
    </row>
    <row r="21" spans="1:7" s="16" customFormat="1" ht="12.75" customHeight="1">
      <c r="A21" s="56" t="s">
        <v>50</v>
      </c>
      <c r="B21" s="93">
        <f>PA2!B9+PY2!B19+'HY2'!B19+'EH2'!B19+TSOL!B9+CTC!B9</f>
        <v>55</v>
      </c>
      <c r="C21" s="93">
        <f>LA!R43</f>
        <v>123</v>
      </c>
      <c r="D21" s="93">
        <f>PA2!D9+PY2!D19+'HY2'!D19+'EH2'!D19+TSOL!D9+CTC!D9</f>
        <v>113</v>
      </c>
      <c r="E21" s="26"/>
      <c r="F21" s="26"/>
      <c r="G21" s="26"/>
    </row>
    <row r="22" spans="1:7" s="16" customFormat="1" ht="12.75" customHeight="1">
      <c r="A22" s="15" t="s">
        <v>57</v>
      </c>
      <c r="B22" s="93">
        <f>PA2!B10+PY2!B20+'HY2'!B20+'EH2'!B20+TSOL!B10+CTC!B10</f>
        <v>50</v>
      </c>
      <c r="C22" s="93">
        <f>LA!R44</f>
        <v>102</v>
      </c>
      <c r="D22" s="93">
        <f>PA2!D10+PY2!D20+'HY2'!D20+'EH2'!D20+TSOL!D10+CTC!D10</f>
        <v>101</v>
      </c>
      <c r="E22" s="26"/>
      <c r="F22" s="26"/>
      <c r="G22" s="26"/>
    </row>
    <row r="23" spans="1:7" ht="9.75" customHeight="1">
      <c r="A23" s="6"/>
      <c r="B23" s="7"/>
      <c r="C23" s="7"/>
      <c r="D23" s="7"/>
      <c r="E23"/>
      <c r="F23"/>
      <c r="G23"/>
    </row>
    <row r="24" spans="1:8" ht="9.75" customHeight="1">
      <c r="A24" s="6"/>
      <c r="B24" s="23"/>
      <c r="C24" s="23"/>
      <c r="D24" s="23"/>
      <c r="E24" s="23"/>
      <c r="F24"/>
      <c r="G24"/>
      <c r="H24"/>
    </row>
    <row r="25" spans="1:8" s="38" customFormat="1" ht="12.75" customHeight="1">
      <c r="A25" s="39" t="s">
        <v>56</v>
      </c>
      <c r="B25" s="48" t="s">
        <v>13</v>
      </c>
      <c r="C25" s="48" t="s">
        <v>13</v>
      </c>
      <c r="D25" s="48" t="s">
        <v>7</v>
      </c>
      <c r="E25" s="48" t="s">
        <v>17</v>
      </c>
      <c r="F25" s="48" t="s">
        <v>17</v>
      </c>
      <c r="G25" s="49" t="s">
        <v>7</v>
      </c>
      <c r="H25" s="49" t="s">
        <v>8</v>
      </c>
    </row>
    <row r="26" spans="1:8" s="38" customFormat="1" ht="12.75" customHeight="1">
      <c r="A26" s="39"/>
      <c r="B26" s="50" t="s">
        <v>18</v>
      </c>
      <c r="C26" s="50" t="s">
        <v>19</v>
      </c>
      <c r="D26" s="50" t="s">
        <v>13</v>
      </c>
      <c r="E26" s="50" t="s">
        <v>20</v>
      </c>
      <c r="F26" s="50" t="s">
        <v>21</v>
      </c>
      <c r="G26" s="51" t="s">
        <v>17</v>
      </c>
      <c r="H26" s="51" t="s">
        <v>7</v>
      </c>
    </row>
    <row r="27" spans="2:8" ht="9.75" customHeight="1">
      <c r="B27" s="3"/>
      <c r="C27" s="3"/>
      <c r="D27" s="3"/>
      <c r="E27" s="3"/>
      <c r="F27" s="3"/>
      <c r="G27" s="3"/>
      <c r="H27" s="8"/>
    </row>
    <row r="28" spans="1:8" s="55" customFormat="1" ht="12.75" customHeight="1">
      <c r="A28" s="94" t="s">
        <v>42</v>
      </c>
      <c r="B28" s="80">
        <f>SUM(WS2!B6,SS2!B6,SOC2!B16,PY2!B26,PSC2!B16,PHL2!B16,MU2!B16,'HY2'!B26,FLT2!B16,'EH Summary'!B6,'ED2'!B16,'CM2'!B16,'AHS2(SOC)'!B6,ART2!B16)</f>
        <v>30702.5</v>
      </c>
      <c r="C28" s="80">
        <f>SUM(WS2!C6,SS2!C6,SOC2!C16,PY2!C26,PSC2!C16,PHL2!C16,MU2!C16,'HY2'!C26,FLT2!C16,'EH Summary'!C6,'ED2'!C16,'CM2'!C16,'AHS2(SOC)'!C6,ART2!C16)</f>
        <v>12936</v>
      </c>
      <c r="D28" s="80">
        <f>SUM(WS2!D6,SS2!D6,SOC2!D16,PY2!D26,PSC2!D16,PHL2!D16,MU2!D16,'HY2'!D26,FLT2!D16,'EH Summary'!D6,'ED2'!D16,'CM2'!D16,'AHS2(SOC)'!D6,ART2!D16)</f>
        <v>43638.5</v>
      </c>
      <c r="E28" s="80">
        <f>SUM(WS2!E6,SS2!E6,SOC2!E16,PY2!E26,PSC2!E16,PHL2!E16,MU2!E16,'HY2'!E26,FLT2!E16,'EH Summary'!E6,'ED2'!E16,'CM2'!E16,'AHS2(SOC)'!E6,ART2!E16)</f>
        <v>2158</v>
      </c>
      <c r="F28" s="80">
        <f>SUM(WS2!F6,SS2!F6,SOC2!F16,PY2!F26,PSC2!F16,PHL2!F16,MU2!F16,'HY2'!F26,FLT2!F16,'EH Summary'!F6,'ED2'!F16,'CM2'!F16,'AHS2(SOC)'!F6,ART2!F16)</f>
        <v>0</v>
      </c>
      <c r="G28" s="80">
        <f>SUM(WS2!G6,SS2!G6,SOC2!G16,PY2!G26,PSC2!G16,PHL2!G16,MU2!G16,'HY2'!G26,FLT2!G16,'EH Summary'!G6,'ED2'!G16,'CM2'!G16,'AHS2(SOC)'!G6,ART2!G16)</f>
        <v>2158</v>
      </c>
      <c r="H28" s="116">
        <f>SUM(WS2!H6,SS2!H6,SOC2!H16,PY2!H26,PSC2!H16,PHL2!H16,MU2!H16,'HY2'!H26,FLT2!H16,'EH Summary'!H6,'ED2'!H16,'CM2'!H16,'AHS2(SOC)'!H6,ART2!H16)</f>
        <v>45796.5</v>
      </c>
    </row>
    <row r="29" spans="1:8" s="55" customFormat="1" ht="12.75" customHeight="1">
      <c r="A29" s="56" t="s">
        <v>44</v>
      </c>
      <c r="B29" s="80">
        <f>SUM(WS2!B7,SS2!B7,SOC2!B17,PY2!B27,PSC2!B17,PHL2!B17,MU2!B17,'HY2'!B27,FLT2!B17,'EH Summary'!B7,'ED2'!B17,'CM2'!B17,'AHS2(SOC)'!B7,ART2!B17)</f>
        <v>33634.5</v>
      </c>
      <c r="C29" s="80">
        <f>SUM(WS2!C7,SS2!C7,SOC2!C17,PY2!C27,PSC2!C17,PHL2!C17,MU2!C17,'HY2'!C27,FLT2!C17,'EH Summary'!C7,'ED2'!C17,'CM2'!C17,'AHS2(SOC)'!C7,ART2!C17)</f>
        <v>13397</v>
      </c>
      <c r="D29" s="80">
        <f>SUM(WS2!D7,SS2!D7,SOC2!D17,PY2!D27,PSC2!D17,PHL2!D17,MU2!D17,'HY2'!D27,FLT2!D17,'EH Summary'!D7,'ED2'!D17,'CM2'!D17,'AHS2(SOC)'!D7,ART2!D17)</f>
        <v>47031.5</v>
      </c>
      <c r="E29" s="80">
        <f>SUM(WS2!E7,SS2!E7,SOC2!E17,PY2!E27,PSC2!E17,PHL2!E17,MU2!E17,'HY2'!E27,FLT2!E17,'EH Summary'!E7,'ED2'!E17,'CM2'!E17,'AHS2(SOC)'!E7,ART2!E17)</f>
        <v>2232</v>
      </c>
      <c r="F29" s="80">
        <f>SUM(WS2!F7,SS2!F7,SOC2!F17,PY2!F27,PSC2!F17,PHL2!F17,MU2!F17,'HY2'!F27,FLT2!F17,'EH Summary'!F7,'ED2'!F17,'CM2'!F17,'AHS2(SOC)'!F7,ART2!F17)</f>
        <v>0</v>
      </c>
      <c r="G29" s="80">
        <f>SUM(WS2!G7,SS2!G7,SOC2!G17,PY2!G27,PSC2!G17,PHL2!G17,MU2!G17,'HY2'!G27,FLT2!G17,'EH Summary'!G7,'ED2'!G17,'CM2'!G17,'AHS2(SOC)'!G7,ART2!G17)</f>
        <v>2232</v>
      </c>
      <c r="H29" s="116">
        <f>SUM(WS2!H7,SS2!H7,SOC2!H17,PY2!H27,PSC2!H17,PHL2!H17,MU2!H17,'HY2'!H27,FLT2!H17,'EH Summary'!H7,'ED2'!H17,'CM2'!H17,'AHS2(SOC)'!H7,ART2!H17)</f>
        <v>49263.5</v>
      </c>
    </row>
    <row r="30" spans="1:8" s="55" customFormat="1" ht="12.75" customHeight="1">
      <c r="A30" s="56" t="s">
        <v>48</v>
      </c>
      <c r="B30" s="80">
        <f>SUM(WS2!B8,SS2!B8,SOC2!B18,PY2!B28,PSC2!B18,PHL2!B18,MU2!B18,'HY2'!B28,FLT2!B18,'EH Summary'!B8,'ED2'!B18,'CM2'!B18,'AHS2(SOC)'!B8,ART2!B18)</f>
        <v>34748.5</v>
      </c>
      <c r="C30" s="80">
        <f>SUM(WS2!C8,SS2!C8,SOC2!C18,PY2!C28,PSC2!C18,PHL2!C18,MU2!C18,'HY2'!C28,FLT2!C18,'EH Summary'!C8,'ED2'!C18,'CM2'!C18,'AHS2(SOC)'!C8,ART2!C18)</f>
        <v>13598</v>
      </c>
      <c r="D30" s="80">
        <f>SUM(WS2!D8,SS2!D8,SOC2!D18,PY2!D28,PSC2!D18,PHL2!D18,MU2!D18,'HY2'!D28,FLT2!D18,'EH Summary'!D8,'ED2'!D18,'CM2'!D18,'AHS2(SOC)'!D8,ART2!D18)</f>
        <v>48346.5</v>
      </c>
      <c r="E30" s="80">
        <f>SUM(WS2!E8,SS2!E8,SOC2!E18,PY2!E28,PSC2!E18,PHL2!E18,MU2!E18,'HY2'!E28,FLT2!E18,'EH Summary'!E8,'ED2'!E18,'CM2'!E18,'AHS2(SOC)'!E8,ART2!E18)</f>
        <v>2256</v>
      </c>
      <c r="F30" s="80">
        <f>SUM(WS2!F8,SS2!F8,SOC2!F18,PY2!F28,PSC2!F18,PHL2!F18,MU2!F18,'HY2'!F28,FLT2!F18,'EH Summary'!F8,'ED2'!F18,'CM2'!F18,'AHS2(SOC)'!F8,ART2!F18)</f>
        <v>0</v>
      </c>
      <c r="G30" s="80">
        <f>SUM(WS2!G8,SS2!G8,SOC2!G18,PY2!G28,PSC2!G18,PHL2!G18,MU2!G18,'HY2'!G28,FLT2!G18,'EH Summary'!G8,'ED2'!G18,'CM2'!G18,'AHS2(SOC)'!G8,ART2!G18)</f>
        <v>2256</v>
      </c>
      <c r="H30" s="116">
        <f>SUM(WS2!H8,SS2!H8,SOC2!H18,PY2!H28,PSC2!H18,PHL2!H18,MU2!H18,'HY2'!H28,FLT2!H18,'EH Summary'!H8,'ED2'!H18,'CM2'!H18,'AHS2(SOC)'!H8,ART2!H18)</f>
        <v>50602.5</v>
      </c>
    </row>
    <row r="31" spans="1:8" s="55" customFormat="1" ht="12.75" customHeight="1">
      <c r="A31" s="56" t="s">
        <v>50</v>
      </c>
      <c r="B31" s="80">
        <f>SUM(WS2!B9,SS2!B9,SOC2!B19,PY2!B29,PSC2!B19,PHL2!B19,MU2!B19,'HY2'!B29,FLT2!B19,'EH Summary'!B9,'ED2'!B19,'CM2'!B19,'AHS2(SOC)'!B9,ART2!B19)</f>
        <v>35154.5</v>
      </c>
      <c r="C31" s="80">
        <f>SUM(WS2!C9,SS2!C9,SOC2!C19,PY2!C29,PSC2!C19,PHL2!C19,MU2!C19,'HY2'!C29,FLT2!C19,'EH Summary'!C9,'ED2'!C19,'CM2'!C19,'AHS2(SOC)'!C9,ART2!C19)</f>
        <v>14998</v>
      </c>
      <c r="D31" s="80">
        <f>SUM(WS2!D9,SS2!D9,SOC2!D19,PY2!D29,PSC2!D19,PHL2!D19,MU2!D19,'HY2'!D29,FLT2!D19,'EH Summary'!D9,'ED2'!D19,'CM2'!D19,'AHS2(SOC)'!D9,ART2!D19)</f>
        <v>50152.5</v>
      </c>
      <c r="E31" s="80">
        <f>SUM(WS2!E9,SS2!E9,SOC2!E19,PY2!E29,PSC2!E19,PHL2!E19,MU2!E19,'HY2'!E29,FLT2!E19,'EH Summary'!E9,'ED2'!E19,'CM2'!E19,'AHS2(SOC)'!E9,ART2!E19)</f>
        <v>2152</v>
      </c>
      <c r="F31" s="80">
        <f>SUM(WS2!F9,SS2!F9,SOC2!F19,PY2!F29,PSC2!F19,PHL2!F19,MU2!F19,'HY2'!F29,FLT2!F19,'EH Summary'!F9,'ED2'!F19,'CM2'!F19,'AHS2(SOC)'!F9,ART2!F19)</f>
        <v>0</v>
      </c>
      <c r="G31" s="80">
        <f>SUM(WS2!G9,SS2!G9,SOC2!G19,PY2!G29,PSC2!G19,PHL2!G19,MU2!G19,'HY2'!G29,FLT2!G19,'EH Summary'!G9,'ED2'!G19,'CM2'!G19,'AHS2(SOC)'!G9,ART2!G19)</f>
        <v>2152</v>
      </c>
      <c r="H31" s="116">
        <f>SUM(WS2!H9,SS2!H9,SOC2!H19,PY2!H29,PSC2!H19,PHL2!H19,MU2!H19,'HY2'!H29,FLT2!H19,'EH Summary'!H9,'ED2'!H19,'CM2'!H19,'AHS2(SOC)'!H9,ART2!H19)</f>
        <v>52304.5</v>
      </c>
    </row>
    <row r="32" spans="1:8" s="55" customFormat="1" ht="12.75" customHeight="1">
      <c r="A32" s="15" t="s">
        <v>57</v>
      </c>
      <c r="B32" s="80">
        <f>SUM(WS2!B10,SS2!B10,SOC2!B20,PY2!B30,PSC2!B20,PHL2!B20,MU2!B20,'HY2'!B30,FLT2!B20,'EH Summary'!B10,'ED2'!B20,'CM2'!B20,'AHS2(SOC)'!B10,ART2!B20)</f>
        <v>35988.5</v>
      </c>
      <c r="C32" s="80">
        <f>SUM(WS2!C10,SS2!C10,SOC2!C20,PY2!C30,PSC2!C20,PHL2!C20,MU2!C20,'HY2'!C30,FLT2!C20,'EH Summary'!C10,'ED2'!C20,'CM2'!C20,'AHS2(SOC)'!C10,ART2!C20)</f>
        <v>14537</v>
      </c>
      <c r="D32" s="80">
        <f>SUM(WS2!D10,SS2!D10,SOC2!D20,PY2!D30,PSC2!D20,PHL2!D20,MU2!D20,'HY2'!D30,FLT2!D20,'EH Summary'!D10,'ED2'!D20,'CM2'!D20,'AHS2(SOC)'!D10,ART2!D20)</f>
        <v>50525.5</v>
      </c>
      <c r="E32" s="80">
        <f>SUM(WS2!E10,SS2!E10,SOC2!E20,PY2!E30,PSC2!E20,PHL2!E20,MU2!E20,'HY2'!E30,FLT2!E20,'EH Summary'!E10,'ED2'!E20,'CM2'!E20,'AHS2(SOC)'!E10,ART2!E20)</f>
        <v>1646</v>
      </c>
      <c r="F32" s="80">
        <f>SUM(WS2!F10,SS2!F10,SOC2!F20,PY2!F30,PSC2!F20,PHL2!F20,MU2!F20,'HY2'!F30,FLT2!F20,'EH Summary'!F10,'ED2'!F20,'CM2'!F20,'AHS2(SOC)'!F10,ART2!F20)</f>
        <v>0</v>
      </c>
      <c r="G32" s="80">
        <f>SUM(WS2!G10,SS2!G10,SOC2!G20,PY2!G30,PSC2!G20,PHL2!G20,MU2!G20,'HY2'!G30,FLT2!G20,'EH Summary'!G10,'ED2'!G20,'CM2'!G20,'AHS2(SOC)'!G10,ART2!G20)</f>
        <v>1646</v>
      </c>
      <c r="H32" s="116">
        <f>SUM(WS2!H10,SS2!H10,SOC2!H20,PY2!H30,PSC2!H20,PHL2!H20,MU2!H20,'HY2'!H30,FLT2!H20,'EH Summary'!H10,'ED2'!H20,'CM2'!H20,'AHS2(SOC)'!H10,ART2!H20)</f>
        <v>52171.5</v>
      </c>
    </row>
    <row r="33" spans="1:8" ht="9.75" customHeight="1">
      <c r="A33" s="36"/>
      <c r="B33" s="9"/>
      <c r="C33" s="9"/>
      <c r="D33" s="9"/>
      <c r="E33" s="9"/>
      <c r="F33" s="9"/>
      <c r="G33" s="9"/>
      <c r="H33" s="11"/>
    </row>
    <row r="34" ht="9.75" customHeight="1"/>
    <row r="35" spans="1:8" s="38" customFormat="1" ht="12.75" customHeight="1">
      <c r="A35" s="39" t="s">
        <v>55</v>
      </c>
      <c r="B35" s="48" t="s">
        <v>13</v>
      </c>
      <c r="C35" s="48" t="s">
        <v>13</v>
      </c>
      <c r="D35" s="48" t="s">
        <v>7</v>
      </c>
      <c r="E35" s="48" t="s">
        <v>17</v>
      </c>
      <c r="F35" s="48" t="s">
        <v>22</v>
      </c>
      <c r="G35" s="48" t="s">
        <v>23</v>
      </c>
      <c r="H35" s="49" t="s">
        <v>8</v>
      </c>
    </row>
    <row r="36" spans="2:8" s="38" customFormat="1" ht="12.75" customHeight="1">
      <c r="B36" s="50" t="s">
        <v>18</v>
      </c>
      <c r="C36" s="50" t="s">
        <v>19</v>
      </c>
      <c r="D36" s="50" t="s">
        <v>13</v>
      </c>
      <c r="E36" s="50" t="s">
        <v>20</v>
      </c>
      <c r="F36" s="50" t="s">
        <v>21</v>
      </c>
      <c r="G36" s="50" t="s">
        <v>17</v>
      </c>
      <c r="H36" s="51" t="s">
        <v>7</v>
      </c>
    </row>
    <row r="37" spans="2:8" ht="9.75" customHeight="1">
      <c r="B37" s="12"/>
      <c r="C37" s="12"/>
      <c r="D37" s="12"/>
      <c r="E37" s="12"/>
      <c r="F37" s="12"/>
      <c r="G37" s="12"/>
      <c r="H37" s="5"/>
    </row>
    <row r="38" spans="1:8" s="55" customFormat="1" ht="12.75" customHeight="1">
      <c r="A38" s="94" t="s">
        <v>42</v>
      </c>
      <c r="B38" s="59">
        <f>SUM(WS2!B16,SS2!B16,SOC2!B26,PY2!B36,PSC2!B26,PHL2!B26,MU2!B26,'HY2'!B36,FLT2!B26,'EH Summary'!B16,'ED2'!B26,'CM2'!B26,'AHS2(SOC)'!B16,ART2!B26)</f>
        <v>30554.69</v>
      </c>
      <c r="C38" s="59">
        <f>SUM(WS2!C16,SS2!C16,SOC2!C26,PY2!C36,PSC2!C26,PHL2!C26,MU2!C26,'HY2'!C36,FLT2!C26,'EH Summary'!C16,'ED2'!C26,'CM2'!C26,'AHS2(SOC)'!C16,ART2!C26)</f>
        <v>17013.4</v>
      </c>
      <c r="D38" s="59">
        <f>SUM(WS2!D16,SS2!D16,SOC2!D26,PY2!D36,PSC2!D26,PHL2!D26,MU2!D26,'HY2'!D36,FLT2!D26,'EH Summary'!D16,'ED2'!D26,'CM2'!D26,'AHS2(SOC)'!D16,ART2!D26)</f>
        <v>47568.090000000004</v>
      </c>
      <c r="E38" s="59">
        <f>SUM(WS2!E16,SS2!E16,SOC2!E26,PY2!E36,PSC2!E26,PHL2!E26,MU2!E26,'HY2'!E36,FLT2!E26,'EH Summary'!E16,'ED2'!E26,'CM2'!E26,'AHS2(SOC)'!E16,ART2!E26)</f>
        <v>5630.76</v>
      </c>
      <c r="F38" s="59">
        <f>SUM(WS2!F16,SS2!F16,SOC2!F26,PY2!F36,PSC2!F26,PHL2!F26,MU2!F26,'HY2'!F36,FLT2!F26,'EH Summary'!F16,'ED2'!F26,'CM2'!F26,'AHS2(SOC)'!F16,ART2!F26)</f>
        <v>0</v>
      </c>
      <c r="G38" s="59">
        <f>SUM(WS2!G16,SS2!G16,SOC2!G26,PY2!G36,PSC2!G26,PHL2!G26,MU2!G26,'HY2'!G36,FLT2!G26,'EH Summary'!G16,'ED2'!G26,'CM2'!G26,'AHS2(SOC)'!G16,ART2!G26)</f>
        <v>5630.76</v>
      </c>
      <c r="H38" s="117">
        <f>SUM(WS2!H16,SS2!H16,SOC2!H26,PY2!H36,PSC2!H26,PHL2!H26,MU2!H26,'HY2'!H36,FLT2!H26,'EH Summary'!H16,'ED2'!H26,'CM2'!H26,'AHS2(SOC)'!H16,ART2!H26)</f>
        <v>53198.85</v>
      </c>
    </row>
    <row r="39" spans="1:8" s="55" customFormat="1" ht="12.75" customHeight="1">
      <c r="A39" s="56" t="s">
        <v>44</v>
      </c>
      <c r="B39" s="59">
        <f>SUM(WS2!B17,SS2!B17,SOC2!B27,PY2!B37,PSC2!B27,PHL2!B27,MU2!B27,'HY2'!B37,FLT2!B27,'EH Summary'!B17,'ED2'!B27,'CM2'!B27,'AHS2(SOC)'!B17,ART2!B27)</f>
        <v>32953.200000000004</v>
      </c>
      <c r="C39" s="59">
        <f>SUM(WS2!C17,SS2!C17,SOC2!C27,PY2!C37,PSC2!C27,PHL2!C27,MU2!C27,'HY2'!C37,FLT2!C27,'EH Summary'!C17,'ED2'!C27,'CM2'!C27,'AHS2(SOC)'!C17,ART2!C27)</f>
        <v>17683.6</v>
      </c>
      <c r="D39" s="59">
        <f>SUM(WS2!D17,SS2!D17,SOC2!D27,PY2!D37,PSC2!D27,PHL2!D27,MU2!D27,'HY2'!D37,FLT2!D27,'EH Summary'!D17,'ED2'!D27,'CM2'!D27,'AHS2(SOC)'!D17,ART2!D27)</f>
        <v>50636.79999999999</v>
      </c>
      <c r="E39" s="59">
        <f>SUM(WS2!E17,SS2!E17,SOC2!E27,PY2!E37,PSC2!E27,PHL2!E27,MU2!E27,'HY2'!E37,FLT2!E27,'EH Summary'!E17,'ED2'!E27,'CM2'!E27,'AHS2(SOC)'!E17,ART2!E27)</f>
        <v>5923.509999999999</v>
      </c>
      <c r="F39" s="59">
        <f>SUM(WS2!F17,SS2!F17,SOC2!F27,PY2!F37,PSC2!F27,PHL2!F27,MU2!F27,'HY2'!F37,FLT2!F27,'EH Summary'!F17,'ED2'!F27,'CM2'!F27,'AHS2(SOC)'!F17,ART2!F27)</f>
        <v>0</v>
      </c>
      <c r="G39" s="59">
        <f>SUM(WS2!G17,SS2!G17,SOC2!G27,PY2!G37,PSC2!G27,PHL2!G27,MU2!G27,'HY2'!G37,FLT2!G27,'EH Summary'!G17,'ED2'!G27,'CM2'!G27,'AHS2(SOC)'!G17,ART2!G27)</f>
        <v>5923.509999999999</v>
      </c>
      <c r="H39" s="117">
        <f>SUM(WS2!H17,SS2!H17,SOC2!H27,PY2!H37,PSC2!H27,PHL2!H27,MU2!H27,'HY2'!H37,FLT2!H27,'EH Summary'!H17,'ED2'!H27,'CM2'!H27,'AHS2(SOC)'!H17,ART2!H27)</f>
        <v>56560.31</v>
      </c>
    </row>
    <row r="40" spans="1:8" s="55" customFormat="1" ht="12.75" customHeight="1">
      <c r="A40" s="56" t="s">
        <v>48</v>
      </c>
      <c r="B40" s="59">
        <f>SUM(WS2!B18,SS2!B18,SOC2!B28,PY2!B38,PSC2!B28,PHL2!B28,MU2!B28,'HY2'!B38,FLT2!B28,'EH Summary'!B18,'ED2'!B28,'CM2'!B28,'AHS2(SOC)'!B18,ART2!B28)</f>
        <v>34017.22</v>
      </c>
      <c r="C40" s="59">
        <f>SUM(WS2!C18,SS2!C18,SOC2!C28,PY2!C38,PSC2!C28,PHL2!C28,MU2!C28,'HY2'!C38,FLT2!C28,'EH Summary'!C18,'ED2'!C28,'CM2'!C28,'AHS2(SOC)'!C18,ART2!C28)</f>
        <v>17878.8</v>
      </c>
      <c r="D40" s="59">
        <f>SUM(WS2!D18,SS2!D18,SOC2!D28,PY2!D38,PSC2!D28,PHL2!D28,MU2!D28,'HY2'!D38,FLT2!D28,'EH Summary'!D18,'ED2'!D28,'CM2'!D28,'AHS2(SOC)'!D18,ART2!D28)</f>
        <v>51896.02</v>
      </c>
      <c r="E40" s="59">
        <f>SUM(WS2!E18,SS2!E18,SOC2!E28,PY2!E38,PSC2!E28,PHL2!E28,MU2!E28,'HY2'!E38,FLT2!E28,'EH Summary'!E18,'ED2'!E28,'CM2'!E28,'AHS2(SOC)'!E18,ART2!E28)</f>
        <v>6000.639999999999</v>
      </c>
      <c r="F40" s="59">
        <f>SUM(WS2!F18,SS2!F18,SOC2!F28,PY2!F38,PSC2!F28,PHL2!F28,MU2!F28,'HY2'!F38,FLT2!F28,'EH Summary'!F18,'ED2'!F28,'CM2'!F28,'AHS2(SOC)'!F18,ART2!F28)</f>
        <v>0</v>
      </c>
      <c r="G40" s="59">
        <f>SUM(WS2!G18,SS2!G18,SOC2!G28,PY2!G38,PSC2!G28,PHL2!G28,MU2!G28,'HY2'!G38,FLT2!G28,'EH Summary'!G18,'ED2'!G28,'CM2'!G28,'AHS2(SOC)'!G18,ART2!G28)</f>
        <v>6000.639999999999</v>
      </c>
      <c r="H40" s="117">
        <f>SUM(WS2!H18,SS2!H18,SOC2!H28,PY2!H38,PSC2!H28,PHL2!H28,MU2!H28,'HY2'!H38,FLT2!H28,'EH Summary'!H18,'ED2'!H28,'CM2'!H28,'AHS2(SOC)'!H18,ART2!H28)</f>
        <v>57896.66</v>
      </c>
    </row>
    <row r="41" spans="1:8" s="55" customFormat="1" ht="12.75" customHeight="1">
      <c r="A41" s="56" t="s">
        <v>50</v>
      </c>
      <c r="B41" s="59">
        <f>SUM(WS2!B19,SS2!B19,SOC2!B29,PY2!B39,PSC2!B29,PHL2!B29,MU2!B29,'HY2'!B39,FLT2!B29,'EH Summary'!B19,'ED2'!B29,'CM2'!B29,'AHS2(SOC)'!B19,ART2!B29)</f>
        <v>34597.45999999999</v>
      </c>
      <c r="C41" s="59">
        <f>SUM(WS2!C19,SS2!C19,SOC2!C29,PY2!C39,PSC2!C29,PHL2!C29,MU2!C29,'HY2'!C39,FLT2!C29,'EH Summary'!C19,'ED2'!C29,'CM2'!C29,'AHS2(SOC)'!C19,ART2!C29)</f>
        <v>19603.050000000003</v>
      </c>
      <c r="D41" s="59">
        <f>SUM(WS2!D19,SS2!D19,SOC2!D29,PY2!D39,PSC2!D29,PHL2!D29,MU2!D29,'HY2'!D39,FLT2!D29,'EH Summary'!D19,'ED2'!D29,'CM2'!D29,'AHS2(SOC)'!D19,ART2!D29)</f>
        <v>54200.509999999995</v>
      </c>
      <c r="E41" s="59">
        <f>SUM(WS2!E19,SS2!E19,SOC2!E29,PY2!E39,PSC2!E29,PHL2!E29,MU2!E29,'HY2'!E39,FLT2!E29,'EH Summary'!E19,'ED2'!E29,'CM2'!E29,'AHS2(SOC)'!E19,ART2!E29)</f>
        <v>5705.54</v>
      </c>
      <c r="F41" s="59">
        <f>SUM(WS2!F19,SS2!F19,SOC2!F29,PY2!F39,PSC2!F29,PHL2!F29,MU2!F29,'HY2'!F39,FLT2!F29,'EH Summary'!F19,'ED2'!F29,'CM2'!F29,'AHS2(SOC)'!F19,ART2!F29)</f>
        <v>0</v>
      </c>
      <c r="G41" s="59">
        <f>SUM(WS2!G19,SS2!G19,SOC2!G29,PY2!G39,PSC2!G29,PHL2!G29,MU2!G29,'HY2'!G39,FLT2!G29,'EH Summary'!G19,'ED2'!G29,'CM2'!G29,'AHS2(SOC)'!G19,ART2!G29)</f>
        <v>5705.54</v>
      </c>
      <c r="H41" s="117">
        <f>SUM(WS2!H19,SS2!H19,SOC2!H29,PY2!H39,PSC2!H29,PHL2!H29,MU2!H29,'HY2'!H39,FLT2!H29,'EH Summary'!H19,'ED2'!H29,'CM2'!H29,'AHS2(SOC)'!H19,ART2!H29)</f>
        <v>59906.049999999996</v>
      </c>
    </row>
    <row r="42" spans="1:8" s="55" customFormat="1" ht="12.75" customHeight="1">
      <c r="A42" s="15" t="s">
        <v>57</v>
      </c>
      <c r="B42" s="59">
        <f>SUM(WS2!B20,SS2!B20,SOC2!B30,PY2!B40,PSC2!B30,PHL2!B30,MU2!B30,'HY2'!B40,FLT2!B30,'EH Summary'!B20,'ED2'!B30,'CM2'!B30,'AHS2(SOC)'!B20,ART2!B30)</f>
        <v>35409.44</v>
      </c>
      <c r="C42" s="59">
        <f>SUM(WS2!C20,SS2!C20,SOC2!C30,PY2!C40,PSC2!C30,PHL2!C30,MU2!C30,'HY2'!C40,FLT2!C30,'EH Summary'!C20,'ED2'!C30,'CM2'!C30,'AHS2(SOC)'!C20,ART2!C30)</f>
        <v>19094.75</v>
      </c>
      <c r="D42" s="59">
        <f>SUM(WS2!D20,SS2!D20,SOC2!D30,PY2!D40,PSC2!D30,PHL2!D30,MU2!D30,'HY2'!D40,FLT2!D30,'EH Summary'!D20,'ED2'!D30,'CM2'!D30,'AHS2(SOC)'!D20,ART2!D30)</f>
        <v>54504.189999999995</v>
      </c>
      <c r="E42" s="59">
        <f>SUM(WS2!E20,SS2!E20,SOC2!E30,PY2!E40,PSC2!E30,PHL2!E30,MU2!E30,'HY2'!E40,FLT2!E30,'EH Summary'!E20,'ED2'!E30,'CM2'!E30,'AHS2(SOC)'!E20,ART2!E30)</f>
        <v>4377.05</v>
      </c>
      <c r="F42" s="59">
        <f>SUM(WS2!F20,SS2!F20,SOC2!F30,PY2!F40,PSC2!F30,PHL2!F30,MU2!F30,'HY2'!F40,FLT2!F30,'EH Summary'!F20,'ED2'!F30,'CM2'!F30,'AHS2(SOC)'!F20,ART2!F30)</f>
        <v>0</v>
      </c>
      <c r="G42" s="59">
        <f>SUM(WS2!G20,SS2!G20,SOC2!G30,PY2!G40,PSC2!G30,PHL2!G30,MU2!G30,'HY2'!G40,FLT2!G30,'EH Summary'!G20,'ED2'!G30,'CM2'!G30,'AHS2(SOC)'!G20,ART2!G30)</f>
        <v>4377.05</v>
      </c>
      <c r="H42" s="117">
        <f>SUM(WS2!H20,SS2!H20,SOC2!H30,PY2!H40,PSC2!H30,PHL2!H30,MU2!H30,'HY2'!H40,FLT2!H30,'EH Summary'!H20,'ED2'!H30,'CM2'!H30,'AHS2(SOC)'!H20,ART2!H30)</f>
        <v>58881.240000000005</v>
      </c>
    </row>
    <row r="43" spans="1:8" ht="9.75" customHeight="1">
      <c r="A43" s="36"/>
      <c r="B43" s="9"/>
      <c r="C43" s="9"/>
      <c r="D43" s="9"/>
      <c r="E43" s="9"/>
      <c r="F43" s="9"/>
      <c r="G43" s="9"/>
      <c r="H43" s="11"/>
    </row>
    <row r="46" ht="12.75" customHeight="1">
      <c r="A46" s="95" t="s">
        <v>58</v>
      </c>
    </row>
  </sheetData>
  <printOptions horizontalCentered="1"/>
  <pageMargins left="0.25" right="0.25" top="1" bottom="0.75" header="0.5" footer="0.25"/>
  <pageSetup fitToHeight="1" fitToWidth="1" horizontalDpi="300" verticalDpi="300" orientation="landscape" scale="91" r:id="rId1"/>
  <headerFooter alignWithMargins="0">
    <oddHeader>&amp;CThe University of Alabama in Huntsville
Unit Academic Reports 
</oddHeader>
    <oddFooter xml:space="preserve">&amp;L&amp;8Office of Institutional Research
&amp;D (ly)
&amp;F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R247"/>
  <sheetViews>
    <sheetView workbookViewId="0" topLeftCell="A1">
      <selection activeCell="N10" sqref="N10"/>
    </sheetView>
  </sheetViews>
  <sheetFormatPr defaultColWidth="9.140625" defaultRowHeight="12.75" customHeight="1"/>
  <cols>
    <col min="1" max="1" width="20.7109375" style="2" customWidth="1"/>
    <col min="2" max="17" width="7.28125" style="2" customWidth="1"/>
    <col min="18" max="16384" width="9.140625" style="2" customWidth="1"/>
  </cols>
  <sheetData>
    <row r="1" ht="12.75" customHeight="1">
      <c r="A1" s="1" t="s">
        <v>52</v>
      </c>
    </row>
    <row r="2" ht="12.75" customHeight="1">
      <c r="A2" s="1"/>
    </row>
    <row r="3" spans="1:18" ht="12.75" customHeight="1">
      <c r="A3"/>
      <c r="B3" s="45" t="s">
        <v>1</v>
      </c>
      <c r="C3" s="46"/>
      <c r="D3" s="45" t="s">
        <v>2</v>
      </c>
      <c r="E3" s="46"/>
      <c r="F3" s="45" t="s">
        <v>3</v>
      </c>
      <c r="G3" s="46"/>
      <c r="H3" s="45" t="s">
        <v>4</v>
      </c>
      <c r="I3" s="46"/>
      <c r="J3" s="45" t="s">
        <v>5</v>
      </c>
      <c r="K3" s="46"/>
      <c r="L3" s="45" t="s">
        <v>6</v>
      </c>
      <c r="M3" s="46"/>
      <c r="N3" s="105" t="s">
        <v>45</v>
      </c>
      <c r="O3" s="105"/>
      <c r="P3" s="45" t="s">
        <v>7</v>
      </c>
      <c r="Q3" s="46"/>
      <c r="R3" s="41" t="s">
        <v>8</v>
      </c>
    </row>
    <row r="4" spans="1:18" ht="12.75" customHeight="1">
      <c r="A4" s="6" t="s">
        <v>61</v>
      </c>
      <c r="B4" s="42" t="s">
        <v>9</v>
      </c>
      <c r="C4" s="43" t="s">
        <v>10</v>
      </c>
      <c r="D4" s="42" t="s">
        <v>9</v>
      </c>
      <c r="E4" s="43" t="s">
        <v>10</v>
      </c>
      <c r="F4" s="42" t="s">
        <v>9</v>
      </c>
      <c r="G4" s="43" t="s">
        <v>10</v>
      </c>
      <c r="H4" s="42" t="s">
        <v>9</v>
      </c>
      <c r="I4" s="43" t="s">
        <v>10</v>
      </c>
      <c r="J4" s="42" t="s">
        <v>9</v>
      </c>
      <c r="K4" s="43" t="s">
        <v>10</v>
      </c>
      <c r="L4" s="42" t="s">
        <v>9</v>
      </c>
      <c r="M4" s="43" t="s">
        <v>10</v>
      </c>
      <c r="N4" s="42" t="s">
        <v>9</v>
      </c>
      <c r="O4" s="43" t="s">
        <v>10</v>
      </c>
      <c r="P4" s="42" t="s">
        <v>9</v>
      </c>
      <c r="Q4" s="43" t="s">
        <v>10</v>
      </c>
      <c r="R4" s="44" t="s">
        <v>7</v>
      </c>
    </row>
    <row r="5" spans="1:18" ht="12.75" customHeight="1">
      <c r="A5"/>
      <c r="B5" s="3"/>
      <c r="C5" s="4"/>
      <c r="D5" s="3"/>
      <c r="E5" s="4"/>
      <c r="F5" s="3"/>
      <c r="G5" s="4"/>
      <c r="H5" s="3"/>
      <c r="I5" s="4"/>
      <c r="J5" s="3"/>
      <c r="K5" s="4"/>
      <c r="L5" s="3"/>
      <c r="M5" s="4"/>
      <c r="N5" s="106"/>
      <c r="O5" s="106"/>
      <c r="P5" s="3"/>
      <c r="Q5" s="4"/>
      <c r="R5" s="8"/>
    </row>
    <row r="6" spans="1:18" ht="12.75" customHeight="1">
      <c r="A6" s="15" t="s">
        <v>42</v>
      </c>
      <c r="B6" s="60">
        <v>5</v>
      </c>
      <c r="C6" s="61">
        <v>7</v>
      </c>
      <c r="D6" s="60">
        <v>0</v>
      </c>
      <c r="E6" s="61">
        <v>2</v>
      </c>
      <c r="F6" s="60">
        <v>0</v>
      </c>
      <c r="G6" s="61">
        <v>0</v>
      </c>
      <c r="H6" s="60">
        <v>0</v>
      </c>
      <c r="I6" s="61">
        <v>0</v>
      </c>
      <c r="J6" s="60">
        <v>0</v>
      </c>
      <c r="K6" s="61">
        <v>0</v>
      </c>
      <c r="L6" s="60">
        <v>0</v>
      </c>
      <c r="M6" s="61">
        <v>0</v>
      </c>
      <c r="N6" s="60">
        <v>0</v>
      </c>
      <c r="O6" s="61">
        <v>0</v>
      </c>
      <c r="P6" s="60">
        <f aca="true" t="shared" si="0" ref="P6:Q10">L6+J6+H6+F6+D6+B6</f>
        <v>5</v>
      </c>
      <c r="Q6" s="61">
        <f t="shared" si="0"/>
        <v>9</v>
      </c>
      <c r="R6" s="62">
        <f>Q6+P6</f>
        <v>14</v>
      </c>
    </row>
    <row r="7" spans="1:18" ht="12.75" customHeight="1">
      <c r="A7" s="15" t="s">
        <v>44</v>
      </c>
      <c r="B7" s="60">
        <v>1</v>
      </c>
      <c r="C7" s="61">
        <v>2</v>
      </c>
      <c r="D7" s="60">
        <v>0</v>
      </c>
      <c r="E7" s="61">
        <v>0</v>
      </c>
      <c r="F7" s="60">
        <v>0</v>
      </c>
      <c r="G7" s="61">
        <v>0</v>
      </c>
      <c r="H7" s="60">
        <v>0</v>
      </c>
      <c r="I7" s="61">
        <v>0</v>
      </c>
      <c r="J7" s="60">
        <v>0</v>
      </c>
      <c r="K7" s="61">
        <v>0</v>
      </c>
      <c r="L7" s="60">
        <v>0</v>
      </c>
      <c r="M7" s="61">
        <v>0</v>
      </c>
      <c r="N7" s="60">
        <v>0</v>
      </c>
      <c r="O7" s="61">
        <v>0</v>
      </c>
      <c r="P7" s="60">
        <f t="shared" si="0"/>
        <v>1</v>
      </c>
      <c r="Q7" s="61">
        <f t="shared" si="0"/>
        <v>2</v>
      </c>
      <c r="R7" s="62">
        <f>Q7+P7</f>
        <v>3</v>
      </c>
    </row>
    <row r="8" spans="1:18" ht="12.75" customHeight="1">
      <c r="A8" s="15" t="s">
        <v>48</v>
      </c>
      <c r="B8" s="60">
        <v>3</v>
      </c>
      <c r="C8" s="61">
        <v>3</v>
      </c>
      <c r="D8" s="60">
        <v>0</v>
      </c>
      <c r="E8" s="61">
        <v>0</v>
      </c>
      <c r="F8" s="60">
        <v>0</v>
      </c>
      <c r="G8" s="61">
        <v>0</v>
      </c>
      <c r="H8" s="60">
        <v>0</v>
      </c>
      <c r="I8" s="61">
        <v>1</v>
      </c>
      <c r="J8" s="60">
        <v>0</v>
      </c>
      <c r="K8" s="61">
        <v>0</v>
      </c>
      <c r="L8" s="60">
        <v>0</v>
      </c>
      <c r="M8" s="61">
        <v>0</v>
      </c>
      <c r="N8" s="60">
        <v>0</v>
      </c>
      <c r="O8" s="61">
        <v>0</v>
      </c>
      <c r="P8" s="60">
        <f t="shared" si="0"/>
        <v>3</v>
      </c>
      <c r="Q8" s="61">
        <f t="shared" si="0"/>
        <v>4</v>
      </c>
      <c r="R8" s="62">
        <f>Q8+P8</f>
        <v>7</v>
      </c>
    </row>
    <row r="9" spans="1:18" ht="12.75" customHeight="1">
      <c r="A9" s="15" t="s">
        <v>50</v>
      </c>
      <c r="B9" s="60">
        <v>4</v>
      </c>
      <c r="C9" s="61">
        <v>4</v>
      </c>
      <c r="D9" s="60">
        <v>0</v>
      </c>
      <c r="E9" s="61">
        <v>0</v>
      </c>
      <c r="F9" s="60">
        <v>0</v>
      </c>
      <c r="G9" s="61">
        <v>0</v>
      </c>
      <c r="H9" s="60">
        <v>0</v>
      </c>
      <c r="I9" s="61">
        <v>0</v>
      </c>
      <c r="J9" s="60">
        <v>0</v>
      </c>
      <c r="K9" s="61">
        <v>0</v>
      </c>
      <c r="L9" s="60">
        <v>0</v>
      </c>
      <c r="M9" s="61">
        <v>0</v>
      </c>
      <c r="N9" s="60">
        <v>0</v>
      </c>
      <c r="O9" s="61">
        <v>0</v>
      </c>
      <c r="P9" s="60">
        <f t="shared" si="0"/>
        <v>4</v>
      </c>
      <c r="Q9" s="61">
        <f t="shared" si="0"/>
        <v>4</v>
      </c>
      <c r="R9" s="62">
        <f>Q9+P9</f>
        <v>8</v>
      </c>
    </row>
    <row r="10" spans="1:18" ht="12.75" customHeight="1">
      <c r="A10" s="15" t="s">
        <v>57</v>
      </c>
      <c r="B10" s="60">
        <v>3</v>
      </c>
      <c r="C10" s="61">
        <v>2</v>
      </c>
      <c r="D10" s="60">
        <v>0</v>
      </c>
      <c r="E10" s="61">
        <v>0</v>
      </c>
      <c r="F10" s="60">
        <v>0</v>
      </c>
      <c r="G10" s="61">
        <v>0</v>
      </c>
      <c r="H10" s="60">
        <v>0</v>
      </c>
      <c r="I10" s="61">
        <v>0</v>
      </c>
      <c r="J10" s="60">
        <v>0</v>
      </c>
      <c r="K10" s="61">
        <v>0</v>
      </c>
      <c r="L10" s="60">
        <v>0</v>
      </c>
      <c r="M10" s="61">
        <v>1</v>
      </c>
      <c r="N10" s="60">
        <v>0</v>
      </c>
      <c r="O10" s="61">
        <v>0</v>
      </c>
      <c r="P10" s="60">
        <f t="shared" si="0"/>
        <v>3</v>
      </c>
      <c r="Q10" s="61">
        <f t="shared" si="0"/>
        <v>3</v>
      </c>
      <c r="R10" s="62">
        <f>Q10+P10</f>
        <v>6</v>
      </c>
    </row>
    <row r="11" spans="2:18" ht="12.75" customHeight="1">
      <c r="B11" s="9"/>
      <c r="C11" s="10"/>
      <c r="D11" s="9"/>
      <c r="E11" s="10"/>
      <c r="F11" s="9"/>
      <c r="G11" s="10"/>
      <c r="H11" s="9"/>
      <c r="I11" s="10"/>
      <c r="J11" s="9"/>
      <c r="K11" s="10"/>
      <c r="L11" s="9"/>
      <c r="M11" s="10"/>
      <c r="N11" s="20"/>
      <c r="O11" s="20"/>
      <c r="P11" s="9"/>
      <c r="Q11" s="10"/>
      <c r="R11" s="11"/>
    </row>
    <row r="13" ht="12.75" customHeight="1">
      <c r="A13" s="6" t="s">
        <v>13</v>
      </c>
    </row>
    <row r="14" spans="1:18" ht="12.75" customHeight="1">
      <c r="A14" s="6" t="s">
        <v>11</v>
      </c>
      <c r="B14" s="45" t="s">
        <v>1</v>
      </c>
      <c r="C14" s="46"/>
      <c r="D14" s="45" t="s">
        <v>2</v>
      </c>
      <c r="E14" s="46"/>
      <c r="F14" s="45" t="s">
        <v>3</v>
      </c>
      <c r="G14" s="46"/>
      <c r="H14" s="45" t="s">
        <v>4</v>
      </c>
      <c r="I14" s="46"/>
      <c r="J14" s="45" t="s">
        <v>5</v>
      </c>
      <c r="K14" s="46"/>
      <c r="L14" s="45" t="s">
        <v>6</v>
      </c>
      <c r="M14" s="46"/>
      <c r="N14" s="105" t="s">
        <v>45</v>
      </c>
      <c r="O14" s="105"/>
      <c r="P14" s="45" t="s">
        <v>7</v>
      </c>
      <c r="Q14" s="46"/>
      <c r="R14" s="41" t="s">
        <v>8</v>
      </c>
    </row>
    <row r="15" spans="1:18" ht="12.75" customHeight="1">
      <c r="A15" s="6" t="s">
        <v>12</v>
      </c>
      <c r="B15" s="42" t="s">
        <v>9</v>
      </c>
      <c r="C15" s="43" t="s">
        <v>10</v>
      </c>
      <c r="D15" s="42" t="s">
        <v>9</v>
      </c>
      <c r="E15" s="43" t="s">
        <v>10</v>
      </c>
      <c r="F15" s="42" t="s">
        <v>9</v>
      </c>
      <c r="G15" s="43" t="s">
        <v>10</v>
      </c>
      <c r="H15" s="42" t="s">
        <v>9</v>
      </c>
      <c r="I15" s="43" t="s">
        <v>10</v>
      </c>
      <c r="J15" s="42" t="s">
        <v>9</v>
      </c>
      <c r="K15" s="43" t="s">
        <v>10</v>
      </c>
      <c r="L15" s="42" t="s">
        <v>9</v>
      </c>
      <c r="M15" s="43" t="s">
        <v>10</v>
      </c>
      <c r="N15" s="42" t="s">
        <v>9</v>
      </c>
      <c r="O15" s="43" t="s">
        <v>10</v>
      </c>
      <c r="P15" s="42" t="s">
        <v>9</v>
      </c>
      <c r="Q15" s="43" t="s">
        <v>10</v>
      </c>
      <c r="R15" s="44" t="s">
        <v>7</v>
      </c>
    </row>
    <row r="16" spans="1:18" ht="12.75" customHeight="1">
      <c r="A16" s="6"/>
      <c r="B16" s="12"/>
      <c r="C16" s="13"/>
      <c r="D16" s="12"/>
      <c r="E16" s="13"/>
      <c r="F16" s="12"/>
      <c r="G16" s="13"/>
      <c r="H16" s="12"/>
      <c r="I16" s="13"/>
      <c r="J16" s="12"/>
      <c r="K16" s="13"/>
      <c r="L16" s="12"/>
      <c r="M16" s="13"/>
      <c r="N16" s="23"/>
      <c r="O16" s="23"/>
      <c r="P16" s="12"/>
      <c r="Q16" s="13"/>
      <c r="R16" s="14"/>
    </row>
    <row r="17" spans="1:18" s="16" customFormat="1" ht="12.75" customHeight="1">
      <c r="A17" s="15" t="s">
        <v>42</v>
      </c>
      <c r="B17" s="60">
        <v>21</v>
      </c>
      <c r="C17" s="61">
        <v>20</v>
      </c>
      <c r="D17" s="60">
        <v>1</v>
      </c>
      <c r="E17" s="61">
        <v>3</v>
      </c>
      <c r="F17" s="60">
        <v>0</v>
      </c>
      <c r="G17" s="61">
        <v>0</v>
      </c>
      <c r="H17" s="60">
        <v>0</v>
      </c>
      <c r="I17" s="61">
        <v>1</v>
      </c>
      <c r="J17" s="60">
        <v>0</v>
      </c>
      <c r="K17" s="61">
        <v>0</v>
      </c>
      <c r="L17" s="60">
        <v>0</v>
      </c>
      <c r="M17" s="61">
        <v>0</v>
      </c>
      <c r="N17" s="60">
        <v>0</v>
      </c>
      <c r="O17" s="61">
        <v>0</v>
      </c>
      <c r="P17" s="60">
        <f aca="true" t="shared" si="1" ref="P17:Q20">L17+J17+H17+F17+D17+B17</f>
        <v>22</v>
      </c>
      <c r="Q17" s="61">
        <f t="shared" si="1"/>
        <v>24</v>
      </c>
      <c r="R17" s="62">
        <f>Q17+P17</f>
        <v>46</v>
      </c>
    </row>
    <row r="18" spans="1:18" s="16" customFormat="1" ht="12.75" customHeight="1">
      <c r="A18" s="15" t="s">
        <v>44</v>
      </c>
      <c r="B18" s="60">
        <v>24</v>
      </c>
      <c r="C18" s="61">
        <v>18</v>
      </c>
      <c r="D18" s="60">
        <v>1</v>
      </c>
      <c r="E18" s="61">
        <v>2</v>
      </c>
      <c r="F18" s="60">
        <v>0</v>
      </c>
      <c r="G18" s="61">
        <v>0</v>
      </c>
      <c r="H18" s="60">
        <v>1</v>
      </c>
      <c r="I18" s="61">
        <v>1</v>
      </c>
      <c r="J18" s="60">
        <v>0</v>
      </c>
      <c r="K18" s="61">
        <v>0</v>
      </c>
      <c r="L18" s="60">
        <v>0</v>
      </c>
      <c r="M18" s="61">
        <v>0</v>
      </c>
      <c r="N18" s="60">
        <v>0</v>
      </c>
      <c r="O18" s="61">
        <v>0</v>
      </c>
      <c r="P18" s="60">
        <f t="shared" si="1"/>
        <v>26</v>
      </c>
      <c r="Q18" s="61">
        <f t="shared" si="1"/>
        <v>21</v>
      </c>
      <c r="R18" s="62">
        <f>Q18+P18</f>
        <v>47</v>
      </c>
    </row>
    <row r="19" spans="1:18" s="16" customFormat="1" ht="12.75" customHeight="1">
      <c r="A19" s="15" t="s">
        <v>48</v>
      </c>
      <c r="B19" s="60">
        <v>24</v>
      </c>
      <c r="C19" s="61">
        <v>20</v>
      </c>
      <c r="D19" s="60">
        <v>3</v>
      </c>
      <c r="E19" s="61">
        <v>2</v>
      </c>
      <c r="F19" s="60">
        <v>0</v>
      </c>
      <c r="G19" s="61">
        <v>0</v>
      </c>
      <c r="H19" s="60">
        <v>1</v>
      </c>
      <c r="I19" s="61">
        <v>0</v>
      </c>
      <c r="J19" s="60">
        <v>0</v>
      </c>
      <c r="K19" s="61">
        <v>0</v>
      </c>
      <c r="L19" s="60">
        <v>1</v>
      </c>
      <c r="M19" s="61">
        <v>0</v>
      </c>
      <c r="N19" s="60">
        <v>0</v>
      </c>
      <c r="O19" s="61">
        <v>0</v>
      </c>
      <c r="P19" s="60">
        <f t="shared" si="1"/>
        <v>29</v>
      </c>
      <c r="Q19" s="61">
        <f t="shared" si="1"/>
        <v>22</v>
      </c>
      <c r="R19" s="62">
        <f>Q19+P19</f>
        <v>51</v>
      </c>
    </row>
    <row r="20" spans="1:18" s="16" customFormat="1" ht="12.75" customHeight="1">
      <c r="A20" s="15" t="s">
        <v>50</v>
      </c>
      <c r="B20" s="60">
        <v>28</v>
      </c>
      <c r="C20" s="61">
        <v>18</v>
      </c>
      <c r="D20" s="60">
        <v>3</v>
      </c>
      <c r="E20" s="61">
        <v>1</v>
      </c>
      <c r="F20" s="60">
        <v>0</v>
      </c>
      <c r="G20" s="61">
        <v>0</v>
      </c>
      <c r="H20" s="60">
        <v>1</v>
      </c>
      <c r="I20" s="61">
        <v>0</v>
      </c>
      <c r="J20" s="60">
        <v>0</v>
      </c>
      <c r="K20" s="61">
        <v>0</v>
      </c>
      <c r="L20" s="60">
        <v>2</v>
      </c>
      <c r="M20" s="61">
        <v>1</v>
      </c>
      <c r="N20" s="60">
        <v>0</v>
      </c>
      <c r="O20" s="61">
        <v>0</v>
      </c>
      <c r="P20" s="60">
        <f t="shared" si="1"/>
        <v>34</v>
      </c>
      <c r="Q20" s="61">
        <f t="shared" si="1"/>
        <v>20</v>
      </c>
      <c r="R20" s="62">
        <f>Q20+P20</f>
        <v>54</v>
      </c>
    </row>
    <row r="21" spans="1:18" s="16" customFormat="1" ht="12.75" customHeight="1">
      <c r="A21" s="15" t="s">
        <v>57</v>
      </c>
      <c r="B21" s="60">
        <v>36</v>
      </c>
      <c r="C21" s="61">
        <v>22</v>
      </c>
      <c r="D21" s="60">
        <v>5</v>
      </c>
      <c r="E21" s="61">
        <v>4</v>
      </c>
      <c r="F21" s="60">
        <v>0</v>
      </c>
      <c r="G21" s="61">
        <v>0</v>
      </c>
      <c r="H21" s="60">
        <v>1</v>
      </c>
      <c r="I21" s="61">
        <v>0</v>
      </c>
      <c r="J21" s="60">
        <v>0</v>
      </c>
      <c r="K21" s="61">
        <v>0</v>
      </c>
      <c r="L21" s="60">
        <v>3</v>
      </c>
      <c r="M21" s="61">
        <v>1</v>
      </c>
      <c r="N21" s="82">
        <v>1</v>
      </c>
      <c r="O21" s="82">
        <v>0</v>
      </c>
      <c r="P21" s="60">
        <f>L21+J21+H21+F21+D21+B21+N21</f>
        <v>46</v>
      </c>
      <c r="Q21" s="61">
        <f>M21+K21+I21+G21+E21+C21+O21</f>
        <v>27</v>
      </c>
      <c r="R21" s="62">
        <f>Q21+P21</f>
        <v>73</v>
      </c>
    </row>
    <row r="22" spans="2:18" ht="12.75" customHeight="1">
      <c r="B22" s="9"/>
      <c r="C22" s="10"/>
      <c r="D22" s="9"/>
      <c r="E22" s="10"/>
      <c r="F22" s="9"/>
      <c r="G22" s="10"/>
      <c r="H22" s="9"/>
      <c r="I22" s="10"/>
      <c r="J22" s="9"/>
      <c r="K22" s="10"/>
      <c r="L22" s="9"/>
      <c r="M22" s="10"/>
      <c r="N22" s="20"/>
      <c r="O22" s="20"/>
      <c r="P22" s="9"/>
      <c r="Q22" s="10"/>
      <c r="R22" s="11"/>
    </row>
    <row r="24" ht="12.75" customHeight="1">
      <c r="A24" s="38"/>
    </row>
    <row r="25" spans="1:2" ht="12.75" customHeight="1">
      <c r="A25" s="35"/>
      <c r="B25" s="35"/>
    </row>
    <row r="26" ht="12.75" customHeight="1">
      <c r="A26" s="35"/>
    </row>
    <row r="38" spans="1:18" s="16" customFormat="1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61" spans="1:18" s="16" customFormat="1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83" spans="1:18" s="16" customFormat="1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105" spans="1:18" s="16" customFormat="1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37" spans="1:18" s="16" customFormat="1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47" spans="1:18" s="16" customFormat="1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69" spans="1:18" s="16" customFormat="1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81" spans="1:18" s="16" customFormat="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92" spans="1:18" s="16" customFormat="1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205" spans="1:18" s="16" customFormat="1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37" spans="1:18" s="16" customFormat="1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47" spans="1:18" s="16" customFormat="1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</sheetData>
  <printOptions horizontalCentered="1"/>
  <pageMargins left="0.25" right="0.25" top="1" bottom="0.75" header="0.5" footer="0.25"/>
  <pageSetup fitToHeight="1" fitToWidth="1" horizontalDpi="300" verticalDpi="300" orientation="landscape" scale="93" r:id="rId1"/>
  <headerFooter alignWithMargins="0">
    <oddHeader>&amp;CThe University of Alabama in Huntsville
Unit Academic Reports 
</oddHeader>
    <oddFooter xml:space="preserve">&amp;L&amp;8Office of Institutional Research
&amp;D (ly)
&amp;F 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M224"/>
  <sheetViews>
    <sheetView workbookViewId="0" topLeftCell="A1">
      <selection activeCell="D10" sqref="D10"/>
    </sheetView>
  </sheetViews>
  <sheetFormatPr defaultColWidth="9.140625" defaultRowHeight="12.75" customHeight="1"/>
  <cols>
    <col min="1" max="1" width="22.7109375" style="35" customWidth="1"/>
    <col min="2" max="8" width="13.7109375" style="2" customWidth="1"/>
    <col min="9" max="16384" width="9.140625" style="2" customWidth="1"/>
  </cols>
  <sheetData>
    <row r="1" spans="1:8" ht="12.75" customHeight="1">
      <c r="A1" s="1" t="s">
        <v>52</v>
      </c>
      <c r="B1" s="16"/>
      <c r="C1" s="16"/>
      <c r="D1" s="16"/>
      <c r="E1" s="16"/>
      <c r="F1"/>
      <c r="G1"/>
      <c r="H1"/>
    </row>
    <row r="2" spans="1:8" ht="12.75" customHeight="1">
      <c r="A2" s="6"/>
      <c r="F2"/>
      <c r="G2"/>
      <c r="H2"/>
    </row>
    <row r="3" spans="1:8" ht="12.75" customHeight="1">
      <c r="A3" s="6" t="s">
        <v>13</v>
      </c>
      <c r="F3"/>
      <c r="G3"/>
      <c r="H3"/>
    </row>
    <row r="4" spans="1:4" s="38" customFormat="1" ht="12.75" customHeight="1">
      <c r="A4" s="39" t="s">
        <v>11</v>
      </c>
      <c r="B4" s="47" t="s">
        <v>16</v>
      </c>
      <c r="C4" s="47" t="s">
        <v>14</v>
      </c>
      <c r="D4" s="47" t="s">
        <v>15</v>
      </c>
    </row>
    <row r="5" spans="2:7" ht="12.75" customHeight="1">
      <c r="B5" s="8"/>
      <c r="C5" s="8"/>
      <c r="D5" s="8"/>
      <c r="E5"/>
      <c r="F5"/>
      <c r="G5"/>
    </row>
    <row r="6" spans="1:7" s="16" customFormat="1" ht="12.75" customHeight="1">
      <c r="A6" s="6" t="s">
        <v>42</v>
      </c>
      <c r="B6" s="14">
        <v>15</v>
      </c>
      <c r="C6" s="14">
        <v>46</v>
      </c>
      <c r="D6" s="14">
        <v>44</v>
      </c>
      <c r="E6" s="26"/>
      <c r="F6" s="26"/>
      <c r="G6" s="26"/>
    </row>
    <row r="7" spans="1:7" s="16" customFormat="1" ht="12.75" customHeight="1">
      <c r="A7" s="6" t="s">
        <v>44</v>
      </c>
      <c r="B7" s="14">
        <v>16</v>
      </c>
      <c r="C7" s="14">
        <f>MU!R18</f>
        <v>47</v>
      </c>
      <c r="D7" s="14">
        <v>49</v>
      </c>
      <c r="E7" s="26"/>
      <c r="F7" s="26"/>
      <c r="G7" s="26"/>
    </row>
    <row r="8" spans="1:7" s="16" customFormat="1" ht="12.75" customHeight="1">
      <c r="A8" s="6" t="s">
        <v>48</v>
      </c>
      <c r="B8" s="14">
        <v>25</v>
      </c>
      <c r="C8" s="14">
        <f>MU!R19</f>
        <v>51</v>
      </c>
      <c r="D8" s="14">
        <v>49</v>
      </c>
      <c r="E8" s="26"/>
      <c r="F8" s="26"/>
      <c r="G8" s="26"/>
    </row>
    <row r="9" spans="1:7" s="16" customFormat="1" ht="12.75" customHeight="1">
      <c r="A9" s="6" t="s">
        <v>50</v>
      </c>
      <c r="B9" s="14">
        <v>18</v>
      </c>
      <c r="C9" s="14">
        <f>MU!R20</f>
        <v>54</v>
      </c>
      <c r="D9" s="14">
        <v>55</v>
      </c>
      <c r="E9" s="26"/>
      <c r="F9" s="26"/>
      <c r="G9" s="26"/>
    </row>
    <row r="10" spans="1:7" s="16" customFormat="1" ht="12.75" customHeight="1">
      <c r="A10" s="15" t="s">
        <v>57</v>
      </c>
      <c r="B10" s="14">
        <v>23</v>
      </c>
      <c r="C10" s="14">
        <f>MU!R21</f>
        <v>73</v>
      </c>
      <c r="D10" s="14">
        <v>66</v>
      </c>
      <c r="E10" s="26"/>
      <c r="F10" s="26"/>
      <c r="G10" s="26"/>
    </row>
    <row r="11" spans="1:7" ht="12.75" customHeight="1">
      <c r="A11" s="6"/>
      <c r="B11" s="7"/>
      <c r="C11" s="7"/>
      <c r="D11" s="7"/>
      <c r="E11"/>
      <c r="F11"/>
      <c r="G11"/>
    </row>
    <row r="12" spans="6:8" ht="12.75" customHeight="1">
      <c r="F12"/>
      <c r="G12"/>
      <c r="H12"/>
    </row>
    <row r="13" spans="1:8" s="38" customFormat="1" ht="12.75" customHeight="1">
      <c r="A13" s="39" t="s">
        <v>56</v>
      </c>
      <c r="B13" s="48" t="s">
        <v>13</v>
      </c>
      <c r="C13" s="48" t="s">
        <v>13</v>
      </c>
      <c r="D13" s="48" t="s">
        <v>7</v>
      </c>
      <c r="E13" s="48" t="s">
        <v>17</v>
      </c>
      <c r="F13" s="48" t="s">
        <v>17</v>
      </c>
      <c r="G13" s="49" t="s">
        <v>7</v>
      </c>
      <c r="H13" s="49" t="s">
        <v>8</v>
      </c>
    </row>
    <row r="14" spans="1:8" s="38" customFormat="1" ht="12.75" customHeight="1">
      <c r="A14" s="39"/>
      <c r="B14" s="50" t="s">
        <v>18</v>
      </c>
      <c r="C14" s="50" t="s">
        <v>19</v>
      </c>
      <c r="D14" s="50" t="s">
        <v>13</v>
      </c>
      <c r="E14" s="50" t="s">
        <v>20</v>
      </c>
      <c r="F14" s="50" t="s">
        <v>21</v>
      </c>
      <c r="G14" s="51" t="s">
        <v>17</v>
      </c>
      <c r="H14" s="51" t="s">
        <v>7</v>
      </c>
    </row>
    <row r="15" spans="2:8" ht="12.75" customHeight="1">
      <c r="B15" s="3"/>
      <c r="C15" s="3"/>
      <c r="D15" s="3"/>
      <c r="E15" s="3"/>
      <c r="F15" s="3"/>
      <c r="G15" s="3"/>
      <c r="H15" s="8"/>
    </row>
    <row r="16" spans="1:8" ht="12.75" customHeight="1">
      <c r="A16" s="6" t="s">
        <v>42</v>
      </c>
      <c r="B16" s="74">
        <f>1495+287.5</f>
        <v>1782.5</v>
      </c>
      <c r="C16" s="74">
        <f>159+259+31</f>
        <v>449</v>
      </c>
      <c r="D16" s="74">
        <f>C16+B16</f>
        <v>2231.5</v>
      </c>
      <c r="E16" s="74">
        <v>0</v>
      </c>
      <c r="F16" s="74">
        <v>0</v>
      </c>
      <c r="G16" s="74">
        <f>F16+E16</f>
        <v>0</v>
      </c>
      <c r="H16" s="75">
        <f>G16+D16</f>
        <v>2231.5</v>
      </c>
    </row>
    <row r="17" spans="1:8" ht="12.75" customHeight="1">
      <c r="A17" s="6" t="s">
        <v>44</v>
      </c>
      <c r="B17" s="74">
        <v>1979.5</v>
      </c>
      <c r="C17" s="74">
        <v>586</v>
      </c>
      <c r="D17" s="74">
        <f>C17+B17</f>
        <v>2565.5</v>
      </c>
      <c r="E17" s="74">
        <v>0</v>
      </c>
      <c r="F17" s="74">
        <v>0</v>
      </c>
      <c r="G17" s="74">
        <f>F17+E17</f>
        <v>0</v>
      </c>
      <c r="H17" s="75">
        <f>G17+D17</f>
        <v>2565.5</v>
      </c>
    </row>
    <row r="18" spans="1:8" ht="12.75" customHeight="1">
      <c r="A18" s="6" t="s">
        <v>48</v>
      </c>
      <c r="B18" s="74">
        <f>1819+269.5+30</f>
        <v>2118.5</v>
      </c>
      <c r="C18" s="74">
        <f>152+256+17+40</f>
        <v>465</v>
      </c>
      <c r="D18" s="74">
        <f>C18+B18</f>
        <v>2583.5</v>
      </c>
      <c r="E18" s="74">
        <v>0</v>
      </c>
      <c r="F18" s="74">
        <v>0</v>
      </c>
      <c r="G18" s="74">
        <f>F18+E18</f>
        <v>0</v>
      </c>
      <c r="H18" s="75">
        <f>G18+D18</f>
        <v>2583.5</v>
      </c>
    </row>
    <row r="19" spans="1:8" ht="12.75" customHeight="1">
      <c r="A19" s="15" t="s">
        <v>50</v>
      </c>
      <c r="B19" s="74">
        <f>232+13+2.5+894+127.5+18+697+112+20.5</f>
        <v>2116.5</v>
      </c>
      <c r="C19" s="74">
        <f>4+129+140+8+10+146+134+11</f>
        <v>582</v>
      </c>
      <c r="D19" s="74">
        <f>C19+B19</f>
        <v>2698.5</v>
      </c>
      <c r="E19" s="74">
        <v>0</v>
      </c>
      <c r="F19" s="74">
        <v>0</v>
      </c>
      <c r="G19" s="74">
        <f>F19+E19</f>
        <v>0</v>
      </c>
      <c r="H19" s="75">
        <f>G19+D19</f>
        <v>2698.5</v>
      </c>
    </row>
    <row r="20" spans="1:8" ht="12.75" customHeight="1">
      <c r="A20" s="15" t="s">
        <v>57</v>
      </c>
      <c r="B20" s="74">
        <f>201+5.5+698+130.5+14+109.5+13+818</f>
        <v>1989.5</v>
      </c>
      <c r="C20" s="74">
        <f>16+114+171+18+18+13+18+161+133</f>
        <v>662</v>
      </c>
      <c r="D20" s="74">
        <f>C20+B20</f>
        <v>2651.5</v>
      </c>
      <c r="E20" s="74">
        <v>0</v>
      </c>
      <c r="F20" s="74">
        <v>0</v>
      </c>
      <c r="G20" s="74">
        <f>F20+E20</f>
        <v>0</v>
      </c>
      <c r="H20" s="75">
        <f>G20+D20</f>
        <v>2651.5</v>
      </c>
    </row>
    <row r="21" spans="1:8" ht="12.75" customHeight="1">
      <c r="A21" s="36"/>
      <c r="B21" s="9"/>
      <c r="C21" s="9"/>
      <c r="D21" s="9"/>
      <c r="E21" s="9"/>
      <c r="F21" s="9"/>
      <c r="G21" s="9"/>
      <c r="H21" s="11"/>
    </row>
    <row r="22" spans="1:5" ht="12.75" customHeight="1">
      <c r="A22" s="36"/>
      <c r="B22"/>
      <c r="C22"/>
      <c r="D22"/>
      <c r="E22"/>
    </row>
    <row r="23" spans="1:8" s="38" customFormat="1" ht="12.75" customHeight="1">
      <c r="A23" s="39" t="s">
        <v>55</v>
      </c>
      <c r="B23" s="48" t="s">
        <v>13</v>
      </c>
      <c r="C23" s="48" t="s">
        <v>13</v>
      </c>
      <c r="D23" s="48" t="s">
        <v>7</v>
      </c>
      <c r="E23" s="48" t="s">
        <v>17</v>
      </c>
      <c r="F23" s="48" t="s">
        <v>22</v>
      </c>
      <c r="G23" s="48" t="s">
        <v>23</v>
      </c>
      <c r="H23" s="49" t="s">
        <v>8</v>
      </c>
    </row>
    <row r="24" spans="2:8" s="38" customFormat="1" ht="12.75" customHeight="1">
      <c r="B24" s="50" t="s">
        <v>18</v>
      </c>
      <c r="C24" s="50" t="s">
        <v>19</v>
      </c>
      <c r="D24" s="50" t="s">
        <v>13</v>
      </c>
      <c r="E24" s="50" t="s">
        <v>20</v>
      </c>
      <c r="F24" s="50" t="s">
        <v>21</v>
      </c>
      <c r="G24" s="50" t="s">
        <v>17</v>
      </c>
      <c r="H24" s="51" t="s">
        <v>7</v>
      </c>
    </row>
    <row r="25" spans="2:8" ht="12.75" customHeight="1">
      <c r="B25" s="12"/>
      <c r="C25" s="12"/>
      <c r="D25" s="12"/>
      <c r="E25" s="12"/>
      <c r="F25" s="12"/>
      <c r="G25" s="12"/>
      <c r="H25" s="14"/>
    </row>
    <row r="26" spans="1:8" ht="12.75" customHeight="1">
      <c r="A26" s="6" t="s">
        <v>42</v>
      </c>
      <c r="B26" s="24">
        <f>B16*1.78</f>
        <v>3172.85</v>
      </c>
      <c r="C26" s="24">
        <f>C16*2.4</f>
        <v>1077.6</v>
      </c>
      <c r="D26" s="24">
        <f>C26+B26</f>
        <v>4250.45</v>
      </c>
      <c r="E26" s="24">
        <v>0</v>
      </c>
      <c r="F26" s="24">
        <v>0</v>
      </c>
      <c r="G26" s="24">
        <f>F26+E26</f>
        <v>0</v>
      </c>
      <c r="H26" s="25">
        <f>G26+D26</f>
        <v>4250.45</v>
      </c>
    </row>
    <row r="27" spans="1:8" ht="12.75" customHeight="1">
      <c r="A27" s="6" t="s">
        <v>44</v>
      </c>
      <c r="B27" s="24">
        <f>B17*1.78</f>
        <v>3523.51</v>
      </c>
      <c r="C27" s="24">
        <f>C17*2.4</f>
        <v>1406.3999999999999</v>
      </c>
      <c r="D27" s="24">
        <f>C27+B27</f>
        <v>4929.91</v>
      </c>
      <c r="E27" s="24">
        <v>0</v>
      </c>
      <c r="F27" s="24">
        <v>0</v>
      </c>
      <c r="G27" s="24">
        <f>F27+E27</f>
        <v>0</v>
      </c>
      <c r="H27" s="25">
        <f>G27+D27</f>
        <v>4929.91</v>
      </c>
    </row>
    <row r="28" spans="1:8" ht="12.75" customHeight="1">
      <c r="A28" s="6" t="s">
        <v>48</v>
      </c>
      <c r="B28" s="24">
        <f>B18*1.78</f>
        <v>3770.93</v>
      </c>
      <c r="C28" s="24">
        <f>C18*2.4</f>
        <v>1116</v>
      </c>
      <c r="D28" s="24">
        <f>C28+B28</f>
        <v>4886.93</v>
      </c>
      <c r="E28" s="24">
        <v>0</v>
      </c>
      <c r="F28" s="24">
        <v>0</v>
      </c>
      <c r="G28" s="24">
        <f>F28+E28</f>
        <v>0</v>
      </c>
      <c r="H28" s="25">
        <f>G28+D28</f>
        <v>4886.93</v>
      </c>
    </row>
    <row r="29" spans="1:8" ht="12.75" customHeight="1">
      <c r="A29" s="15" t="s">
        <v>50</v>
      </c>
      <c r="B29" s="24">
        <f>B19*1.78</f>
        <v>3767.37</v>
      </c>
      <c r="C29" s="24">
        <f>C19*2.4</f>
        <v>1396.8</v>
      </c>
      <c r="D29" s="24">
        <f>C29+B29</f>
        <v>5164.17</v>
      </c>
      <c r="E29" s="24">
        <v>0</v>
      </c>
      <c r="F29" s="24">
        <v>0</v>
      </c>
      <c r="G29" s="24">
        <f>F29+E29</f>
        <v>0</v>
      </c>
      <c r="H29" s="25">
        <f>G29+D29</f>
        <v>5164.17</v>
      </c>
    </row>
    <row r="30" spans="1:8" ht="12.75" customHeight="1">
      <c r="A30" s="15" t="s">
        <v>57</v>
      </c>
      <c r="B30" s="24">
        <f>B20*1.78</f>
        <v>3541.31</v>
      </c>
      <c r="C30" s="24">
        <f>C20*2.4</f>
        <v>1588.8</v>
      </c>
      <c r="D30" s="24">
        <f>C30+B30</f>
        <v>5130.11</v>
      </c>
      <c r="E30" s="24">
        <v>0</v>
      </c>
      <c r="F30" s="24">
        <v>0</v>
      </c>
      <c r="G30" s="24">
        <f>F30+E30</f>
        <v>0</v>
      </c>
      <c r="H30" s="25">
        <f>G30+D30</f>
        <v>5130.11</v>
      </c>
    </row>
    <row r="31" spans="1:8" ht="12.75" customHeight="1">
      <c r="A31" s="36"/>
      <c r="B31" s="9"/>
      <c r="C31" s="9"/>
      <c r="D31" s="9"/>
      <c r="E31" s="9"/>
      <c r="F31" s="9"/>
      <c r="G31" s="9"/>
      <c r="H31" s="11"/>
    </row>
    <row r="32" spans="6:8" ht="12.75" customHeight="1">
      <c r="F32"/>
      <c r="G32"/>
      <c r="H32"/>
    </row>
    <row r="33" ht="12.75" customHeight="1">
      <c r="A33" s="95" t="s">
        <v>58</v>
      </c>
    </row>
    <row r="34" ht="12" customHeight="1"/>
    <row r="39" spans="1:13" s="16" customFormat="1" ht="12.75" customHeight="1">
      <c r="A39" s="35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72" spans="1:13" s="16" customFormat="1" ht="12.75" customHeight="1">
      <c r="A72" s="35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127" spans="1:13" s="16" customFormat="1" ht="12.75" customHeight="1">
      <c r="A127" s="35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59" spans="1:13" s="16" customFormat="1" ht="12.75" customHeight="1">
      <c r="A159" s="35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70" spans="1:13" s="16" customFormat="1" ht="12.75" customHeight="1">
      <c r="A170" s="35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203" spans="1:13" s="16" customFormat="1" ht="12.75" customHeight="1">
      <c r="A203" s="35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15" spans="1:13" s="16" customFormat="1" ht="12.75" customHeight="1">
      <c r="A215" s="35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24" spans="1:13" s="16" customFormat="1" ht="12.75" customHeight="1">
      <c r="A224" s="35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 xml:space="preserve">&amp;L&amp;8Office of Institutional Research
&amp;D (ly)
&amp;F 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34">
    <pageSetUpPr fitToPage="1"/>
  </sheetPr>
  <dimension ref="A1:R206"/>
  <sheetViews>
    <sheetView workbookViewId="0" topLeftCell="A1">
      <selection activeCell="D10" sqref="D10"/>
    </sheetView>
  </sheetViews>
  <sheetFormatPr defaultColWidth="9.140625" defaultRowHeight="12.75" customHeight="1"/>
  <cols>
    <col min="1" max="1" width="20.7109375" style="2" customWidth="1"/>
    <col min="2" max="17" width="7.28125" style="2" customWidth="1"/>
    <col min="18" max="16384" width="9.140625" style="2" customWidth="1"/>
  </cols>
  <sheetData>
    <row r="1" ht="12.75" customHeight="1">
      <c r="A1" s="1" t="s">
        <v>31</v>
      </c>
    </row>
    <row r="2" ht="12.75" customHeight="1">
      <c r="A2" s="1"/>
    </row>
    <row r="3" spans="1:18" ht="12.75" customHeight="1">
      <c r="A3"/>
      <c r="B3" s="45" t="s">
        <v>1</v>
      </c>
      <c r="C3" s="46"/>
      <c r="D3" s="45" t="s">
        <v>2</v>
      </c>
      <c r="E3" s="46"/>
      <c r="F3" s="45" t="s">
        <v>3</v>
      </c>
      <c r="G3" s="46"/>
      <c r="H3" s="45" t="s">
        <v>4</v>
      </c>
      <c r="I3" s="46"/>
      <c r="J3" s="45" t="s">
        <v>5</v>
      </c>
      <c r="K3" s="46"/>
      <c r="L3" s="45" t="s">
        <v>6</v>
      </c>
      <c r="M3" s="46"/>
      <c r="N3" s="105" t="s">
        <v>45</v>
      </c>
      <c r="O3" s="105"/>
      <c r="P3" s="45" t="s">
        <v>7</v>
      </c>
      <c r="Q3" s="46"/>
      <c r="R3" s="41" t="s">
        <v>8</v>
      </c>
    </row>
    <row r="4" spans="1:18" ht="12.75" customHeight="1">
      <c r="A4" s="6" t="s">
        <v>61</v>
      </c>
      <c r="B4" s="42" t="s">
        <v>9</v>
      </c>
      <c r="C4" s="43" t="s">
        <v>10</v>
      </c>
      <c r="D4" s="42" t="s">
        <v>9</v>
      </c>
      <c r="E4" s="43" t="s">
        <v>10</v>
      </c>
      <c r="F4" s="42" t="s">
        <v>9</v>
      </c>
      <c r="G4" s="43" t="s">
        <v>10</v>
      </c>
      <c r="H4" s="42" t="s">
        <v>9</v>
      </c>
      <c r="I4" s="43" t="s">
        <v>10</v>
      </c>
      <c r="J4" s="42" t="s">
        <v>9</v>
      </c>
      <c r="K4" s="43" t="s">
        <v>10</v>
      </c>
      <c r="L4" s="42" t="s">
        <v>9</v>
      </c>
      <c r="M4" s="43" t="s">
        <v>10</v>
      </c>
      <c r="N4" s="42" t="s">
        <v>9</v>
      </c>
      <c r="O4" s="43" t="s">
        <v>10</v>
      </c>
      <c r="P4" s="42" t="s">
        <v>9</v>
      </c>
      <c r="Q4" s="43" t="s">
        <v>10</v>
      </c>
      <c r="R4" s="44" t="s">
        <v>7</v>
      </c>
    </row>
    <row r="5" spans="1:18" ht="12.75" customHeight="1">
      <c r="A5"/>
      <c r="B5" s="3"/>
      <c r="C5" s="4"/>
      <c r="D5" s="3"/>
      <c r="E5" s="4"/>
      <c r="F5" s="3"/>
      <c r="G5" s="4"/>
      <c r="H5" s="3"/>
      <c r="I5" s="4"/>
      <c r="J5" s="3"/>
      <c r="K5" s="4"/>
      <c r="L5" s="3"/>
      <c r="M5" s="4"/>
      <c r="N5" s="106"/>
      <c r="O5" s="106"/>
      <c r="P5" s="3"/>
      <c r="Q5" s="4"/>
      <c r="R5" s="8"/>
    </row>
    <row r="6" spans="1:18" ht="12.75" customHeight="1">
      <c r="A6" s="15" t="s">
        <v>42</v>
      </c>
      <c r="B6" s="60">
        <v>1</v>
      </c>
      <c r="C6" s="61">
        <v>1</v>
      </c>
      <c r="D6" s="60">
        <v>0</v>
      </c>
      <c r="E6" s="61">
        <v>0</v>
      </c>
      <c r="F6" s="60">
        <v>0</v>
      </c>
      <c r="G6" s="61">
        <v>0</v>
      </c>
      <c r="H6" s="60">
        <v>0</v>
      </c>
      <c r="I6" s="61">
        <v>0</v>
      </c>
      <c r="J6" s="60">
        <v>0</v>
      </c>
      <c r="K6" s="61">
        <v>0</v>
      </c>
      <c r="L6" s="60">
        <v>0</v>
      </c>
      <c r="M6" s="61">
        <v>1</v>
      </c>
      <c r="N6" s="82">
        <v>0</v>
      </c>
      <c r="O6" s="82">
        <v>0</v>
      </c>
      <c r="P6" s="60">
        <f aca="true" t="shared" si="0" ref="P6:Q10">L6+J6+H6+F6+D6+B6</f>
        <v>1</v>
      </c>
      <c r="Q6" s="61">
        <f t="shared" si="0"/>
        <v>2</v>
      </c>
      <c r="R6" s="62">
        <f>Q6+P6</f>
        <v>3</v>
      </c>
    </row>
    <row r="7" spans="1:18" ht="12.75" customHeight="1">
      <c r="A7" s="15" t="s">
        <v>44</v>
      </c>
      <c r="B7" s="60">
        <v>5</v>
      </c>
      <c r="C7" s="61">
        <v>1</v>
      </c>
      <c r="D7" s="60">
        <v>0</v>
      </c>
      <c r="E7" s="61">
        <v>0</v>
      </c>
      <c r="F7" s="60">
        <v>0</v>
      </c>
      <c r="G7" s="61">
        <v>1</v>
      </c>
      <c r="H7" s="60">
        <v>0</v>
      </c>
      <c r="I7" s="61">
        <v>0</v>
      </c>
      <c r="J7" s="60">
        <v>0</v>
      </c>
      <c r="K7" s="61">
        <v>1</v>
      </c>
      <c r="L7" s="60">
        <v>1</v>
      </c>
      <c r="M7" s="61">
        <v>0</v>
      </c>
      <c r="N7" s="82">
        <v>0</v>
      </c>
      <c r="O7" s="82">
        <v>0</v>
      </c>
      <c r="P7" s="60">
        <f t="shared" si="0"/>
        <v>6</v>
      </c>
      <c r="Q7" s="61">
        <f t="shared" si="0"/>
        <v>3</v>
      </c>
      <c r="R7" s="62">
        <f>Q7+P7</f>
        <v>9</v>
      </c>
    </row>
    <row r="8" spans="1:18" ht="12.75" customHeight="1">
      <c r="A8" s="15" t="s">
        <v>48</v>
      </c>
      <c r="B8" s="60">
        <v>3</v>
      </c>
      <c r="C8" s="61">
        <v>0</v>
      </c>
      <c r="D8" s="60">
        <v>0</v>
      </c>
      <c r="E8" s="61">
        <v>0</v>
      </c>
      <c r="F8" s="60">
        <v>0</v>
      </c>
      <c r="G8" s="61">
        <v>0</v>
      </c>
      <c r="H8" s="60">
        <v>0</v>
      </c>
      <c r="I8" s="61">
        <v>0</v>
      </c>
      <c r="J8" s="60">
        <v>0</v>
      </c>
      <c r="K8" s="61">
        <v>0</v>
      </c>
      <c r="L8" s="60">
        <v>0</v>
      </c>
      <c r="M8" s="61">
        <v>0</v>
      </c>
      <c r="N8" s="82">
        <v>0</v>
      </c>
      <c r="O8" s="82">
        <v>0</v>
      </c>
      <c r="P8" s="60">
        <f t="shared" si="0"/>
        <v>3</v>
      </c>
      <c r="Q8" s="61">
        <f t="shared" si="0"/>
        <v>0</v>
      </c>
      <c r="R8" s="62">
        <f>Q8+P8</f>
        <v>3</v>
      </c>
    </row>
    <row r="9" spans="1:18" ht="12.75" customHeight="1">
      <c r="A9" s="15" t="s">
        <v>50</v>
      </c>
      <c r="B9" s="60">
        <v>4</v>
      </c>
      <c r="C9" s="61">
        <v>2</v>
      </c>
      <c r="D9" s="60">
        <v>0</v>
      </c>
      <c r="E9" s="61">
        <v>0</v>
      </c>
      <c r="F9" s="60">
        <v>0</v>
      </c>
      <c r="G9" s="61">
        <v>0</v>
      </c>
      <c r="H9" s="60">
        <v>0</v>
      </c>
      <c r="I9" s="61">
        <v>0</v>
      </c>
      <c r="J9" s="60">
        <v>0</v>
      </c>
      <c r="K9" s="61">
        <v>0</v>
      </c>
      <c r="L9" s="60">
        <v>0</v>
      </c>
      <c r="M9" s="61">
        <v>0</v>
      </c>
      <c r="N9" s="82">
        <v>0</v>
      </c>
      <c r="O9" s="82">
        <v>0</v>
      </c>
      <c r="P9" s="60">
        <f t="shared" si="0"/>
        <v>4</v>
      </c>
      <c r="Q9" s="61">
        <f t="shared" si="0"/>
        <v>2</v>
      </c>
      <c r="R9" s="62">
        <f>Q9+P9</f>
        <v>6</v>
      </c>
    </row>
    <row r="10" spans="1:18" ht="12.75" customHeight="1">
      <c r="A10" s="15" t="s">
        <v>57</v>
      </c>
      <c r="B10" s="60">
        <v>6</v>
      </c>
      <c r="C10" s="61">
        <v>4</v>
      </c>
      <c r="D10" s="60">
        <v>0</v>
      </c>
      <c r="E10" s="61">
        <v>0</v>
      </c>
      <c r="F10" s="60">
        <v>0</v>
      </c>
      <c r="G10" s="61">
        <v>0</v>
      </c>
      <c r="H10" s="60">
        <v>0</v>
      </c>
      <c r="I10" s="61">
        <v>0</v>
      </c>
      <c r="J10" s="60">
        <v>0</v>
      </c>
      <c r="K10" s="61">
        <v>0</v>
      </c>
      <c r="L10" s="60">
        <v>0</v>
      </c>
      <c r="M10" s="61">
        <v>0</v>
      </c>
      <c r="N10" s="82">
        <v>0</v>
      </c>
      <c r="O10" s="82">
        <v>0</v>
      </c>
      <c r="P10" s="60">
        <f t="shared" si="0"/>
        <v>6</v>
      </c>
      <c r="Q10" s="61">
        <f t="shared" si="0"/>
        <v>4</v>
      </c>
      <c r="R10" s="62">
        <f>Q10+P10</f>
        <v>10</v>
      </c>
    </row>
    <row r="11" spans="2:18" ht="12.75" customHeight="1">
      <c r="B11" s="9"/>
      <c r="C11" s="10"/>
      <c r="D11" s="9"/>
      <c r="E11" s="10"/>
      <c r="F11" s="9"/>
      <c r="G11" s="10"/>
      <c r="H11" s="9"/>
      <c r="I11" s="10"/>
      <c r="J11" s="9"/>
      <c r="K11" s="10"/>
      <c r="L11" s="9"/>
      <c r="M11" s="10"/>
      <c r="N11" s="20"/>
      <c r="O11" s="20"/>
      <c r="P11" s="9"/>
      <c r="Q11" s="10"/>
      <c r="R11" s="11"/>
    </row>
    <row r="13" ht="12.75" customHeight="1">
      <c r="A13" s="6" t="s">
        <v>13</v>
      </c>
    </row>
    <row r="14" spans="1:18" ht="12.75" customHeight="1">
      <c r="A14" s="6" t="s">
        <v>11</v>
      </c>
      <c r="B14" s="45" t="s">
        <v>1</v>
      </c>
      <c r="C14" s="46"/>
      <c r="D14" s="45" t="s">
        <v>2</v>
      </c>
      <c r="E14" s="46"/>
      <c r="F14" s="45" t="s">
        <v>3</v>
      </c>
      <c r="G14" s="46"/>
      <c r="H14" s="45" t="s">
        <v>4</v>
      </c>
      <c r="I14" s="46"/>
      <c r="J14" s="45" t="s">
        <v>5</v>
      </c>
      <c r="K14" s="46"/>
      <c r="L14" s="45" t="s">
        <v>6</v>
      </c>
      <c r="M14" s="46"/>
      <c r="N14" s="105" t="s">
        <v>45</v>
      </c>
      <c r="O14" s="105"/>
      <c r="P14" s="45" t="s">
        <v>7</v>
      </c>
      <c r="Q14" s="46"/>
      <c r="R14" s="41" t="s">
        <v>8</v>
      </c>
    </row>
    <row r="15" spans="1:18" ht="12.75" customHeight="1">
      <c r="A15" s="6" t="s">
        <v>12</v>
      </c>
      <c r="B15" s="42" t="s">
        <v>9</v>
      </c>
      <c r="C15" s="43" t="s">
        <v>10</v>
      </c>
      <c r="D15" s="42" t="s">
        <v>9</v>
      </c>
      <c r="E15" s="43" t="s">
        <v>10</v>
      </c>
      <c r="F15" s="42" t="s">
        <v>9</v>
      </c>
      <c r="G15" s="43" t="s">
        <v>10</v>
      </c>
      <c r="H15" s="42" t="s">
        <v>9</v>
      </c>
      <c r="I15" s="43" t="s">
        <v>10</v>
      </c>
      <c r="J15" s="42" t="s">
        <v>9</v>
      </c>
      <c r="K15" s="43" t="s">
        <v>10</v>
      </c>
      <c r="L15" s="42" t="s">
        <v>9</v>
      </c>
      <c r="M15" s="43" t="s">
        <v>10</v>
      </c>
      <c r="N15" s="42" t="s">
        <v>9</v>
      </c>
      <c r="O15" s="43" t="s">
        <v>10</v>
      </c>
      <c r="P15" s="42" t="s">
        <v>9</v>
      </c>
      <c r="Q15" s="43" t="s">
        <v>10</v>
      </c>
      <c r="R15" s="44" t="s">
        <v>7</v>
      </c>
    </row>
    <row r="16" spans="1:18" ht="12.75" customHeight="1">
      <c r="A16" s="6"/>
      <c r="B16" s="12"/>
      <c r="C16" s="13"/>
      <c r="D16" s="12"/>
      <c r="E16" s="13"/>
      <c r="F16" s="12"/>
      <c r="G16" s="13"/>
      <c r="H16" s="12"/>
      <c r="I16" s="13"/>
      <c r="J16" s="12"/>
      <c r="K16" s="13"/>
      <c r="L16" s="12"/>
      <c r="M16" s="13"/>
      <c r="N16" s="23"/>
      <c r="O16" s="23"/>
      <c r="P16" s="12"/>
      <c r="Q16" s="13"/>
      <c r="R16" s="14"/>
    </row>
    <row r="17" spans="1:18" s="16" customFormat="1" ht="12.75" customHeight="1">
      <c r="A17" s="15" t="s">
        <v>42</v>
      </c>
      <c r="B17" s="60">
        <v>16</v>
      </c>
      <c r="C17" s="61">
        <v>4</v>
      </c>
      <c r="D17" s="60">
        <v>1</v>
      </c>
      <c r="E17" s="61">
        <v>0</v>
      </c>
      <c r="F17" s="60">
        <v>0</v>
      </c>
      <c r="G17" s="61">
        <v>0</v>
      </c>
      <c r="H17" s="60">
        <v>0</v>
      </c>
      <c r="I17" s="61">
        <v>0</v>
      </c>
      <c r="J17" s="60">
        <v>0</v>
      </c>
      <c r="K17" s="61">
        <v>0</v>
      </c>
      <c r="L17" s="60">
        <v>1</v>
      </c>
      <c r="M17" s="61">
        <v>1</v>
      </c>
      <c r="N17" s="82">
        <v>0</v>
      </c>
      <c r="O17" s="82">
        <v>0</v>
      </c>
      <c r="P17" s="60">
        <f aca="true" t="shared" si="1" ref="P17:Q19">L17+J17+H17+F17+D17+B17</f>
        <v>18</v>
      </c>
      <c r="Q17" s="61">
        <f t="shared" si="1"/>
        <v>5</v>
      </c>
      <c r="R17" s="62">
        <f>Q17+P17</f>
        <v>23</v>
      </c>
    </row>
    <row r="18" spans="1:18" s="16" customFormat="1" ht="12.75" customHeight="1">
      <c r="A18" s="15" t="s">
        <v>44</v>
      </c>
      <c r="B18" s="60">
        <v>14</v>
      </c>
      <c r="C18" s="61">
        <v>5</v>
      </c>
      <c r="D18" s="60">
        <v>1</v>
      </c>
      <c r="E18" s="61">
        <v>0</v>
      </c>
      <c r="F18" s="60">
        <v>0</v>
      </c>
      <c r="G18" s="61">
        <v>1</v>
      </c>
      <c r="H18" s="60">
        <v>0</v>
      </c>
      <c r="I18" s="61">
        <v>0</v>
      </c>
      <c r="J18" s="60">
        <v>0</v>
      </c>
      <c r="K18" s="61">
        <v>0</v>
      </c>
      <c r="L18" s="60">
        <v>1</v>
      </c>
      <c r="M18" s="61">
        <v>0</v>
      </c>
      <c r="N18" s="82">
        <v>0</v>
      </c>
      <c r="O18" s="82">
        <v>0</v>
      </c>
      <c r="P18" s="60">
        <f t="shared" si="1"/>
        <v>16</v>
      </c>
      <c r="Q18" s="61">
        <f t="shared" si="1"/>
        <v>6</v>
      </c>
      <c r="R18" s="62">
        <f>Q18+P18</f>
        <v>22</v>
      </c>
    </row>
    <row r="19" spans="1:18" s="16" customFormat="1" ht="12.75" customHeight="1">
      <c r="A19" s="15" t="s">
        <v>48</v>
      </c>
      <c r="B19" s="60">
        <v>23</v>
      </c>
      <c r="C19" s="61">
        <v>8</v>
      </c>
      <c r="D19" s="60">
        <v>1</v>
      </c>
      <c r="E19" s="61">
        <v>0</v>
      </c>
      <c r="F19" s="60">
        <v>1</v>
      </c>
      <c r="G19" s="61">
        <v>1</v>
      </c>
      <c r="H19" s="60">
        <v>0</v>
      </c>
      <c r="I19" s="61">
        <v>0</v>
      </c>
      <c r="J19" s="60">
        <v>0</v>
      </c>
      <c r="K19" s="61">
        <v>1</v>
      </c>
      <c r="L19" s="60">
        <v>0</v>
      </c>
      <c r="M19" s="61">
        <v>0</v>
      </c>
      <c r="N19" s="82">
        <v>0</v>
      </c>
      <c r="O19" s="82">
        <v>0</v>
      </c>
      <c r="P19" s="60">
        <f t="shared" si="1"/>
        <v>25</v>
      </c>
      <c r="Q19" s="61">
        <f t="shared" si="1"/>
        <v>10</v>
      </c>
      <c r="R19" s="62">
        <f>Q19+P19</f>
        <v>35</v>
      </c>
    </row>
    <row r="20" spans="1:18" s="16" customFormat="1" ht="12.75" customHeight="1">
      <c r="A20" s="15" t="s">
        <v>50</v>
      </c>
      <c r="B20" s="60">
        <v>26</v>
      </c>
      <c r="C20" s="61">
        <v>11</v>
      </c>
      <c r="D20" s="60">
        <v>1</v>
      </c>
      <c r="E20" s="61">
        <v>0</v>
      </c>
      <c r="F20" s="60">
        <v>1</v>
      </c>
      <c r="G20" s="61">
        <v>1</v>
      </c>
      <c r="H20" s="60">
        <v>0</v>
      </c>
      <c r="I20" s="61">
        <v>0</v>
      </c>
      <c r="J20" s="60">
        <v>0</v>
      </c>
      <c r="K20" s="61">
        <v>0</v>
      </c>
      <c r="L20" s="60">
        <v>0</v>
      </c>
      <c r="M20" s="61">
        <v>0</v>
      </c>
      <c r="N20" s="82">
        <v>0</v>
      </c>
      <c r="O20" s="82">
        <v>1</v>
      </c>
      <c r="P20" s="60">
        <f>L20+J20+H20+F20+D20+B20+N20</f>
        <v>28</v>
      </c>
      <c r="Q20" s="61">
        <f>M20+K20+I20+G20+E20+C20+O20</f>
        <v>13</v>
      </c>
      <c r="R20" s="62">
        <f>Q20+P20</f>
        <v>41</v>
      </c>
    </row>
    <row r="21" spans="1:18" s="16" customFormat="1" ht="12.75" customHeight="1">
      <c r="A21" s="15" t="s">
        <v>57</v>
      </c>
      <c r="B21" s="60">
        <v>21</v>
      </c>
      <c r="C21" s="61">
        <v>11</v>
      </c>
      <c r="D21" s="60">
        <v>1</v>
      </c>
      <c r="E21" s="61">
        <v>1</v>
      </c>
      <c r="F21" s="60">
        <v>0</v>
      </c>
      <c r="G21" s="61">
        <v>2</v>
      </c>
      <c r="H21" s="60">
        <v>0</v>
      </c>
      <c r="I21" s="61">
        <v>0</v>
      </c>
      <c r="J21" s="60">
        <v>0</v>
      </c>
      <c r="K21" s="61">
        <v>0</v>
      </c>
      <c r="L21" s="60">
        <v>0</v>
      </c>
      <c r="M21" s="61">
        <v>0</v>
      </c>
      <c r="N21" s="82">
        <v>0</v>
      </c>
      <c r="O21" s="82">
        <v>0</v>
      </c>
      <c r="P21" s="60">
        <f>L21+J21+H21+F21+D21+B21+N21</f>
        <v>22</v>
      </c>
      <c r="Q21" s="61">
        <f>M21+K21+I21+G21+E21+C21+O21</f>
        <v>14</v>
      </c>
      <c r="R21" s="62">
        <f>Q21+P21</f>
        <v>36</v>
      </c>
    </row>
    <row r="22" spans="2:18" ht="12.75" customHeight="1">
      <c r="B22" s="9"/>
      <c r="C22" s="10"/>
      <c r="D22" s="9"/>
      <c r="E22" s="10"/>
      <c r="F22" s="9"/>
      <c r="G22" s="10"/>
      <c r="H22" s="9"/>
      <c r="I22" s="10"/>
      <c r="J22" s="9"/>
      <c r="K22" s="10"/>
      <c r="L22" s="9"/>
      <c r="M22" s="10"/>
      <c r="N22" s="20"/>
      <c r="O22" s="20"/>
      <c r="P22" s="9"/>
      <c r="Q22" s="10"/>
      <c r="R22" s="11"/>
    </row>
    <row r="24" ht="12.75" customHeight="1">
      <c r="A24" s="35"/>
    </row>
    <row r="25" spans="1:2" ht="12.75" customHeight="1">
      <c r="A25" s="35"/>
      <c r="B25" s="35"/>
    </row>
    <row r="26" spans="1:15" ht="12.75" customHeight="1">
      <c r="A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</row>
    <row r="42" spans="1:18" s="16" customFormat="1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64" spans="1:18" s="16" customFormat="1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96" spans="1:18" s="16" customFormat="1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106" spans="1:18" s="16" customFormat="1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28" spans="1:18" s="16" customFormat="1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40" spans="1:18" s="16" customFormat="1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51" spans="1:18" s="16" customFormat="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64" spans="1:18" s="16" customFormat="1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96" spans="1:18" s="16" customFormat="1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206" spans="1:18" s="16" customFormat="1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</sheetData>
  <printOptions horizontalCentered="1"/>
  <pageMargins left="0.25" right="0.25" top="1" bottom="0.75" header="0.5" footer="0.25"/>
  <pageSetup fitToHeight="1" fitToWidth="1" horizontalDpi="300" verticalDpi="300" orientation="landscape" scale="93" r:id="rId1"/>
  <headerFooter alignWithMargins="0">
    <oddHeader>&amp;CThe University of Alabama in Huntsville
Unit Academic Reports 
</oddHeader>
    <oddFooter xml:space="preserve">&amp;L&amp;8Office of Institutional Research
&amp;D (ly)
&amp;F 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M193"/>
  <sheetViews>
    <sheetView workbookViewId="0" topLeftCell="A1">
      <selection activeCell="D10" sqref="D10"/>
    </sheetView>
  </sheetViews>
  <sheetFormatPr defaultColWidth="9.140625" defaultRowHeight="12.75" customHeight="1"/>
  <cols>
    <col min="1" max="1" width="22.7109375" style="35" customWidth="1"/>
    <col min="2" max="8" width="13.7109375" style="2" customWidth="1"/>
    <col min="9" max="16384" width="9.140625" style="2" customWidth="1"/>
  </cols>
  <sheetData>
    <row r="1" spans="1:8" ht="12.75" customHeight="1">
      <c r="A1" s="1" t="s">
        <v>31</v>
      </c>
      <c r="B1" s="16"/>
      <c r="C1" s="16"/>
      <c r="D1" s="16"/>
      <c r="E1" s="16"/>
      <c r="F1"/>
      <c r="G1"/>
      <c r="H1"/>
    </row>
    <row r="2" spans="1:8" ht="12.75" customHeight="1">
      <c r="A2" s="6"/>
      <c r="F2"/>
      <c r="G2"/>
      <c r="H2"/>
    </row>
    <row r="3" spans="1:8" ht="12.75" customHeight="1">
      <c r="A3" s="6" t="s">
        <v>13</v>
      </c>
      <c r="F3"/>
      <c r="G3"/>
      <c r="H3"/>
    </row>
    <row r="4" spans="1:4" s="38" customFormat="1" ht="12.75" customHeight="1">
      <c r="A4" s="39" t="s">
        <v>11</v>
      </c>
      <c r="B4" s="47" t="s">
        <v>16</v>
      </c>
      <c r="C4" s="47" t="s">
        <v>14</v>
      </c>
      <c r="D4" s="47" t="s">
        <v>15</v>
      </c>
    </row>
    <row r="5" spans="2:7" ht="12.75" customHeight="1">
      <c r="B5" s="8"/>
      <c r="C5" s="8"/>
      <c r="D5" s="8"/>
      <c r="E5"/>
      <c r="F5"/>
      <c r="G5"/>
    </row>
    <row r="6" spans="1:7" s="16" customFormat="1" ht="12.75" customHeight="1">
      <c r="A6" s="39" t="s">
        <v>42</v>
      </c>
      <c r="B6" s="14">
        <v>10</v>
      </c>
      <c r="C6" s="14">
        <f>PHL!R17</f>
        <v>23</v>
      </c>
      <c r="D6" s="14">
        <v>22</v>
      </c>
      <c r="E6" s="26"/>
      <c r="F6" s="26"/>
      <c r="G6" s="26"/>
    </row>
    <row r="7" spans="1:7" s="16" customFormat="1" ht="12.75" customHeight="1">
      <c r="A7" s="39" t="s">
        <v>44</v>
      </c>
      <c r="B7" s="14">
        <v>10</v>
      </c>
      <c r="C7" s="14">
        <f>PHL!R18</f>
        <v>22</v>
      </c>
      <c r="D7" s="14">
        <v>35</v>
      </c>
      <c r="E7" s="26"/>
      <c r="F7" s="26"/>
      <c r="G7" s="26"/>
    </row>
    <row r="8" spans="1:7" s="16" customFormat="1" ht="12.75" customHeight="1">
      <c r="A8" s="39" t="s">
        <v>48</v>
      </c>
      <c r="B8" s="14">
        <v>10</v>
      </c>
      <c r="C8" s="14">
        <f>PHL!R19</f>
        <v>35</v>
      </c>
      <c r="D8" s="14">
        <v>38</v>
      </c>
      <c r="E8" s="26"/>
      <c r="F8" s="26"/>
      <c r="G8" s="26"/>
    </row>
    <row r="9" spans="1:7" s="16" customFormat="1" ht="12.75" customHeight="1">
      <c r="A9" s="15" t="s">
        <v>50</v>
      </c>
      <c r="B9" s="14">
        <v>21</v>
      </c>
      <c r="C9" s="14">
        <f>PHL!R20</f>
        <v>41</v>
      </c>
      <c r="D9" s="14">
        <v>37</v>
      </c>
      <c r="E9" s="26"/>
      <c r="F9" s="26"/>
      <c r="G9" s="26"/>
    </row>
    <row r="10" spans="1:7" s="16" customFormat="1" ht="12.75" customHeight="1">
      <c r="A10" s="15" t="s">
        <v>57</v>
      </c>
      <c r="B10" s="14">
        <v>16</v>
      </c>
      <c r="C10" s="14">
        <f>PHL!R21</f>
        <v>36</v>
      </c>
      <c r="D10" s="14">
        <v>26</v>
      </c>
      <c r="E10" s="26"/>
      <c r="F10" s="26"/>
      <c r="G10" s="26"/>
    </row>
    <row r="11" spans="1:7" ht="12.75" customHeight="1">
      <c r="A11" s="6"/>
      <c r="B11" s="7"/>
      <c r="C11" s="7"/>
      <c r="D11" s="7"/>
      <c r="E11"/>
      <c r="F11"/>
      <c r="G11"/>
    </row>
    <row r="12" spans="6:8" ht="12.75" customHeight="1">
      <c r="F12"/>
      <c r="G12"/>
      <c r="H12"/>
    </row>
    <row r="13" spans="1:8" s="38" customFormat="1" ht="12.75" customHeight="1">
      <c r="A13" s="39" t="s">
        <v>56</v>
      </c>
      <c r="B13" s="48" t="s">
        <v>13</v>
      </c>
      <c r="C13" s="48" t="s">
        <v>13</v>
      </c>
      <c r="D13" s="48" t="s">
        <v>7</v>
      </c>
      <c r="E13" s="48" t="s">
        <v>17</v>
      </c>
      <c r="F13" s="48" t="s">
        <v>17</v>
      </c>
      <c r="G13" s="49" t="s">
        <v>7</v>
      </c>
      <c r="H13" s="49" t="s">
        <v>8</v>
      </c>
    </row>
    <row r="14" spans="1:8" s="38" customFormat="1" ht="12.75" customHeight="1">
      <c r="A14" s="39"/>
      <c r="B14" s="50" t="s">
        <v>18</v>
      </c>
      <c r="C14" s="50" t="s">
        <v>19</v>
      </c>
      <c r="D14" s="50" t="s">
        <v>13</v>
      </c>
      <c r="E14" s="50" t="s">
        <v>20</v>
      </c>
      <c r="F14" s="50" t="s">
        <v>21</v>
      </c>
      <c r="G14" s="51" t="s">
        <v>17</v>
      </c>
      <c r="H14" s="51" t="s">
        <v>7</v>
      </c>
    </row>
    <row r="15" spans="2:8" ht="12.75" customHeight="1">
      <c r="B15" s="3"/>
      <c r="C15" s="3"/>
      <c r="D15" s="3"/>
      <c r="E15" s="3"/>
      <c r="F15" s="3"/>
      <c r="G15" s="3"/>
      <c r="H15" s="8"/>
    </row>
    <row r="16" spans="1:8" ht="12.75" customHeight="1">
      <c r="A16" s="39" t="s">
        <v>42</v>
      </c>
      <c r="B16" s="74">
        <v>2154</v>
      </c>
      <c r="C16" s="74">
        <v>663</v>
      </c>
      <c r="D16" s="74">
        <f>C16+B16</f>
        <v>2817</v>
      </c>
      <c r="E16" s="74">
        <v>0</v>
      </c>
      <c r="F16" s="74">
        <v>0</v>
      </c>
      <c r="G16" s="74">
        <f>F16+E16</f>
        <v>0</v>
      </c>
      <c r="H16" s="75">
        <f>G16+D16</f>
        <v>2817</v>
      </c>
    </row>
    <row r="17" spans="1:8" ht="12.75" customHeight="1">
      <c r="A17" s="39" t="s">
        <v>44</v>
      </c>
      <c r="B17" s="74">
        <v>2376</v>
      </c>
      <c r="C17" s="74">
        <v>636</v>
      </c>
      <c r="D17" s="74">
        <f>C17+B17</f>
        <v>3012</v>
      </c>
      <c r="E17" s="74">
        <v>0</v>
      </c>
      <c r="F17" s="74">
        <v>0</v>
      </c>
      <c r="G17" s="74">
        <f>F17+E17</f>
        <v>0</v>
      </c>
      <c r="H17" s="75">
        <f>G17+D17</f>
        <v>3012</v>
      </c>
    </row>
    <row r="18" spans="1:8" ht="12.75" customHeight="1">
      <c r="A18" s="39" t="s">
        <v>48</v>
      </c>
      <c r="B18" s="74">
        <v>2298</v>
      </c>
      <c r="C18" s="74">
        <v>555</v>
      </c>
      <c r="D18" s="74">
        <f>C18+B18</f>
        <v>2853</v>
      </c>
      <c r="E18" s="74">
        <v>3</v>
      </c>
      <c r="F18" s="74">
        <v>0</v>
      </c>
      <c r="G18" s="74">
        <f>F18+E18</f>
        <v>3</v>
      </c>
      <c r="H18" s="75">
        <f>G18+D18</f>
        <v>2856</v>
      </c>
    </row>
    <row r="19" spans="1:8" ht="12.75" customHeight="1">
      <c r="A19" s="15" t="s">
        <v>50</v>
      </c>
      <c r="B19" s="74">
        <f>276+1032+951</f>
        <v>2259</v>
      </c>
      <c r="C19" s="74">
        <f>66+378+384</f>
        <v>828</v>
      </c>
      <c r="D19" s="74">
        <f>C19+B19</f>
        <v>3087</v>
      </c>
      <c r="E19" s="74">
        <v>0</v>
      </c>
      <c r="F19" s="74">
        <v>0</v>
      </c>
      <c r="G19" s="74">
        <f>F19+E19</f>
        <v>0</v>
      </c>
      <c r="H19" s="75">
        <f>G19+D19</f>
        <v>3087</v>
      </c>
    </row>
    <row r="20" spans="1:8" ht="12.75" customHeight="1">
      <c r="A20" s="15" t="s">
        <v>57</v>
      </c>
      <c r="B20" s="74">
        <f>261+1026+1047</f>
        <v>2334</v>
      </c>
      <c r="C20" s="74">
        <f>72+327+300</f>
        <v>699</v>
      </c>
      <c r="D20" s="74">
        <f>C20+B20</f>
        <v>3033</v>
      </c>
      <c r="E20" s="74">
        <v>3</v>
      </c>
      <c r="F20" s="74">
        <v>0</v>
      </c>
      <c r="G20" s="74">
        <f>F20+E20</f>
        <v>3</v>
      </c>
      <c r="H20" s="75">
        <f>G20+D20</f>
        <v>3036</v>
      </c>
    </row>
    <row r="21" spans="1:8" ht="12.75" customHeight="1">
      <c r="A21" s="36"/>
      <c r="B21" s="9"/>
      <c r="C21" s="9"/>
      <c r="D21" s="9"/>
      <c r="E21" s="9"/>
      <c r="F21" s="9"/>
      <c r="G21" s="9"/>
      <c r="H21" s="11"/>
    </row>
    <row r="22" spans="1:5" ht="12.75" customHeight="1">
      <c r="A22" s="36"/>
      <c r="B22"/>
      <c r="C22"/>
      <c r="D22"/>
      <c r="E22"/>
    </row>
    <row r="23" spans="1:8" s="38" customFormat="1" ht="12.75" customHeight="1">
      <c r="A23" s="39" t="s">
        <v>55</v>
      </c>
      <c r="B23" s="48" t="s">
        <v>13</v>
      </c>
      <c r="C23" s="48" t="s">
        <v>13</v>
      </c>
      <c r="D23" s="48" t="s">
        <v>7</v>
      </c>
      <c r="E23" s="48" t="s">
        <v>17</v>
      </c>
      <c r="F23" s="48" t="s">
        <v>22</v>
      </c>
      <c r="G23" s="48" t="s">
        <v>23</v>
      </c>
      <c r="H23" s="49" t="s">
        <v>8</v>
      </c>
    </row>
    <row r="24" spans="2:8" s="38" customFormat="1" ht="12.75" customHeight="1">
      <c r="B24" s="50" t="s">
        <v>18</v>
      </c>
      <c r="C24" s="50" t="s">
        <v>19</v>
      </c>
      <c r="D24" s="50" t="s">
        <v>13</v>
      </c>
      <c r="E24" s="50" t="s">
        <v>20</v>
      </c>
      <c r="F24" s="50" t="s">
        <v>21</v>
      </c>
      <c r="G24" s="50" t="s">
        <v>17</v>
      </c>
      <c r="H24" s="51" t="s">
        <v>7</v>
      </c>
    </row>
    <row r="25" spans="2:8" ht="12.75" customHeight="1">
      <c r="B25" s="12"/>
      <c r="C25" s="12"/>
      <c r="D25" s="12"/>
      <c r="E25" s="12"/>
      <c r="F25" s="12"/>
      <c r="G25" s="12"/>
      <c r="H25" s="14"/>
    </row>
    <row r="26" spans="1:8" ht="12.75" customHeight="1">
      <c r="A26" s="39" t="s">
        <v>42</v>
      </c>
      <c r="B26" s="97">
        <f>B16*0.85</f>
        <v>1830.8999999999999</v>
      </c>
      <c r="C26" s="97">
        <f>C16*1.15</f>
        <v>762.4499999999999</v>
      </c>
      <c r="D26" s="97">
        <f>C26+B26</f>
        <v>2593.35</v>
      </c>
      <c r="E26" s="97">
        <f>E16*2.73</f>
        <v>0</v>
      </c>
      <c r="F26" s="97">
        <v>0</v>
      </c>
      <c r="G26" s="97">
        <f>F26+E26</f>
        <v>0</v>
      </c>
      <c r="H26" s="98">
        <f>G26+D26</f>
        <v>2593.35</v>
      </c>
    </row>
    <row r="27" spans="1:8" ht="12.75" customHeight="1">
      <c r="A27" s="39" t="s">
        <v>44</v>
      </c>
      <c r="B27" s="97">
        <f>B17*0.85</f>
        <v>2019.6</v>
      </c>
      <c r="C27" s="97">
        <f>C17*1.15</f>
        <v>731.4</v>
      </c>
      <c r="D27" s="97">
        <f>C27+B27</f>
        <v>2751</v>
      </c>
      <c r="E27" s="97">
        <f>E17*2.73</f>
        <v>0</v>
      </c>
      <c r="F27" s="97">
        <v>0</v>
      </c>
      <c r="G27" s="97">
        <f>F27+E27</f>
        <v>0</v>
      </c>
      <c r="H27" s="98">
        <f>G27+D27</f>
        <v>2751</v>
      </c>
    </row>
    <row r="28" spans="1:8" ht="12.75" customHeight="1">
      <c r="A28" s="39" t="s">
        <v>48</v>
      </c>
      <c r="B28" s="97">
        <f>B18*0.85</f>
        <v>1953.3</v>
      </c>
      <c r="C28" s="97">
        <f>C18*1.15</f>
        <v>638.25</v>
      </c>
      <c r="D28" s="97">
        <f>C28+B28</f>
        <v>2591.55</v>
      </c>
      <c r="E28" s="97">
        <f>E18*2.73</f>
        <v>8.19</v>
      </c>
      <c r="F28" s="97">
        <v>0</v>
      </c>
      <c r="G28" s="97">
        <f>F28+E28</f>
        <v>8.19</v>
      </c>
      <c r="H28" s="98">
        <f>G28+D28</f>
        <v>2599.7400000000002</v>
      </c>
    </row>
    <row r="29" spans="1:8" ht="12.75" customHeight="1">
      <c r="A29" s="15" t="s">
        <v>50</v>
      </c>
      <c r="B29" s="97">
        <f>B19*0.85</f>
        <v>1920.1499999999999</v>
      </c>
      <c r="C29" s="97">
        <f>C19*1.15</f>
        <v>952.1999999999999</v>
      </c>
      <c r="D29" s="97">
        <f>C29+B29</f>
        <v>2872.35</v>
      </c>
      <c r="E29" s="97">
        <f>E19*2.73</f>
        <v>0</v>
      </c>
      <c r="F29" s="97">
        <v>0</v>
      </c>
      <c r="G29" s="97">
        <f>F29+E29</f>
        <v>0</v>
      </c>
      <c r="H29" s="98">
        <f>G29+D29</f>
        <v>2872.35</v>
      </c>
    </row>
    <row r="30" spans="1:8" ht="12.75" customHeight="1">
      <c r="A30" s="15" t="s">
        <v>57</v>
      </c>
      <c r="B30" s="97">
        <f>B20*0.85</f>
        <v>1983.8999999999999</v>
      </c>
      <c r="C30" s="97">
        <f>C20*1.15</f>
        <v>803.8499999999999</v>
      </c>
      <c r="D30" s="97">
        <f>C30+B30</f>
        <v>2787.75</v>
      </c>
      <c r="E30" s="97">
        <f>E20*2.73</f>
        <v>8.19</v>
      </c>
      <c r="F30" s="97">
        <v>0</v>
      </c>
      <c r="G30" s="97">
        <f>F30+E30</f>
        <v>8.19</v>
      </c>
      <c r="H30" s="98">
        <f>G30+D30</f>
        <v>2795.94</v>
      </c>
    </row>
    <row r="31" spans="1:8" s="17" customFormat="1" ht="12.75" customHeight="1">
      <c r="A31" s="83"/>
      <c r="B31" s="73"/>
      <c r="C31" s="73"/>
      <c r="D31" s="73"/>
      <c r="E31" s="84"/>
      <c r="F31" s="84"/>
      <c r="G31" s="84"/>
      <c r="H31" s="85"/>
    </row>
    <row r="32" spans="6:8" ht="12.75" customHeight="1">
      <c r="F32"/>
      <c r="G32"/>
      <c r="H32"/>
    </row>
    <row r="33" ht="12.75" customHeight="1">
      <c r="A33" s="95" t="s">
        <v>58</v>
      </c>
    </row>
    <row r="41" spans="1:13" s="16" customFormat="1" ht="12.75" customHeight="1">
      <c r="A41" s="3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96" spans="1:13" s="16" customFormat="1" ht="12.75" customHeight="1">
      <c r="A96" s="35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128" spans="1:13" s="16" customFormat="1" ht="12.75" customHeight="1">
      <c r="A128" s="35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39" spans="1:13" s="16" customFormat="1" ht="12.75" customHeight="1">
      <c r="A139" s="35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72" spans="1:13" s="16" customFormat="1" ht="12.75" customHeight="1">
      <c r="A172" s="35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84" spans="1:13" s="16" customFormat="1" ht="12.75" customHeight="1">
      <c r="A184" s="35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93" spans="1:13" s="16" customFormat="1" ht="12.75" customHeight="1">
      <c r="A193" s="35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 xml:space="preserve">&amp;L&amp;8Office of Institutional Research
&amp;D (ly)
&amp;F 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6">
    <pageSetUpPr fitToPage="1"/>
  </sheetPr>
  <dimension ref="A1:R184"/>
  <sheetViews>
    <sheetView workbookViewId="0" topLeftCell="A1">
      <selection activeCell="L10" sqref="L10"/>
    </sheetView>
  </sheetViews>
  <sheetFormatPr defaultColWidth="9.140625" defaultRowHeight="12.75" customHeight="1"/>
  <cols>
    <col min="1" max="1" width="20.7109375" style="2" customWidth="1"/>
    <col min="2" max="17" width="7.28125" style="2" customWidth="1"/>
    <col min="18" max="16384" width="9.140625" style="2" customWidth="1"/>
  </cols>
  <sheetData>
    <row r="1" ht="12.75" customHeight="1">
      <c r="A1" s="1" t="s">
        <v>32</v>
      </c>
    </row>
    <row r="2" ht="12.75" customHeight="1">
      <c r="A2" s="1"/>
    </row>
    <row r="3" spans="1:18" ht="12.75" customHeight="1">
      <c r="A3"/>
      <c r="B3" s="45" t="s">
        <v>1</v>
      </c>
      <c r="C3" s="46"/>
      <c r="D3" s="45" t="s">
        <v>2</v>
      </c>
      <c r="E3" s="46"/>
      <c r="F3" s="45" t="s">
        <v>3</v>
      </c>
      <c r="G3" s="46"/>
      <c r="H3" s="45" t="s">
        <v>4</v>
      </c>
      <c r="I3" s="46"/>
      <c r="J3" s="45" t="s">
        <v>5</v>
      </c>
      <c r="K3" s="46"/>
      <c r="L3" s="45" t="s">
        <v>6</v>
      </c>
      <c r="M3" s="46"/>
      <c r="N3" s="105" t="s">
        <v>45</v>
      </c>
      <c r="O3" s="105"/>
      <c r="P3" s="45" t="s">
        <v>7</v>
      </c>
      <c r="Q3" s="46"/>
      <c r="R3" s="41" t="s">
        <v>8</v>
      </c>
    </row>
    <row r="4" spans="1:18" ht="12.75" customHeight="1">
      <c r="A4" s="6" t="s">
        <v>61</v>
      </c>
      <c r="B4" s="42" t="s">
        <v>9</v>
      </c>
      <c r="C4" s="43" t="s">
        <v>10</v>
      </c>
      <c r="D4" s="42" t="s">
        <v>9</v>
      </c>
      <c r="E4" s="43" t="s">
        <v>10</v>
      </c>
      <c r="F4" s="42" t="s">
        <v>9</v>
      </c>
      <c r="G4" s="43" t="s">
        <v>10</v>
      </c>
      <c r="H4" s="42" t="s">
        <v>9</v>
      </c>
      <c r="I4" s="43" t="s">
        <v>10</v>
      </c>
      <c r="J4" s="42" t="s">
        <v>9</v>
      </c>
      <c r="K4" s="43" t="s">
        <v>10</v>
      </c>
      <c r="L4" s="42" t="s">
        <v>9</v>
      </c>
      <c r="M4" s="43" t="s">
        <v>10</v>
      </c>
      <c r="N4" s="42" t="s">
        <v>9</v>
      </c>
      <c r="O4" s="43" t="s">
        <v>10</v>
      </c>
      <c r="P4" s="42" t="s">
        <v>9</v>
      </c>
      <c r="Q4" s="43" t="s">
        <v>10</v>
      </c>
      <c r="R4" s="44" t="s">
        <v>7</v>
      </c>
    </row>
    <row r="5" spans="1:18" ht="12.75" customHeight="1">
      <c r="A5"/>
      <c r="B5" s="3"/>
      <c r="C5" s="4"/>
      <c r="D5" s="3"/>
      <c r="E5" s="4"/>
      <c r="F5" s="3"/>
      <c r="G5" s="4"/>
      <c r="H5" s="3"/>
      <c r="I5" s="4"/>
      <c r="J5" s="3"/>
      <c r="K5" s="4"/>
      <c r="L5" s="3"/>
      <c r="M5" s="4"/>
      <c r="N5" s="106"/>
      <c r="O5" s="106"/>
      <c r="P5" s="3"/>
      <c r="Q5" s="4"/>
      <c r="R5" s="8"/>
    </row>
    <row r="6" spans="1:18" ht="12.75" customHeight="1">
      <c r="A6" s="15" t="s">
        <v>42</v>
      </c>
      <c r="B6" s="60">
        <v>2</v>
      </c>
      <c r="C6" s="61">
        <v>1</v>
      </c>
      <c r="D6" s="60">
        <v>1</v>
      </c>
      <c r="E6" s="61">
        <v>1</v>
      </c>
      <c r="F6" s="60">
        <v>0</v>
      </c>
      <c r="G6" s="61">
        <v>1</v>
      </c>
      <c r="H6" s="60">
        <v>0</v>
      </c>
      <c r="I6" s="61">
        <v>0</v>
      </c>
      <c r="J6" s="60">
        <v>0</v>
      </c>
      <c r="K6" s="61">
        <v>0</v>
      </c>
      <c r="L6" s="60">
        <v>1</v>
      </c>
      <c r="M6" s="61">
        <v>1</v>
      </c>
      <c r="N6" s="82">
        <v>0</v>
      </c>
      <c r="O6" s="82">
        <v>0</v>
      </c>
      <c r="P6" s="60">
        <f aca="true" t="shared" si="0" ref="P6:Q10">L6+J6+H6+F6+D6+B6</f>
        <v>4</v>
      </c>
      <c r="Q6" s="61">
        <f t="shared" si="0"/>
        <v>4</v>
      </c>
      <c r="R6" s="62">
        <f>Q6+P6</f>
        <v>8</v>
      </c>
    </row>
    <row r="7" spans="1:18" ht="12.75" customHeight="1">
      <c r="A7" s="15" t="s">
        <v>44</v>
      </c>
      <c r="B7" s="60">
        <v>4</v>
      </c>
      <c r="C7" s="61">
        <v>4</v>
      </c>
      <c r="D7" s="60">
        <v>0</v>
      </c>
      <c r="E7" s="61">
        <v>1</v>
      </c>
      <c r="F7" s="60">
        <v>0</v>
      </c>
      <c r="G7" s="61">
        <v>0</v>
      </c>
      <c r="H7" s="60">
        <v>1</v>
      </c>
      <c r="I7" s="61">
        <v>0</v>
      </c>
      <c r="J7" s="60">
        <v>1</v>
      </c>
      <c r="K7" s="61">
        <v>0</v>
      </c>
      <c r="L7" s="60">
        <v>0</v>
      </c>
      <c r="M7" s="61">
        <v>0</v>
      </c>
      <c r="N7" s="82">
        <v>0</v>
      </c>
      <c r="O7" s="82">
        <v>0</v>
      </c>
      <c r="P7" s="60">
        <f t="shared" si="0"/>
        <v>6</v>
      </c>
      <c r="Q7" s="61">
        <f t="shared" si="0"/>
        <v>5</v>
      </c>
      <c r="R7" s="62">
        <f>Q7+P7</f>
        <v>11</v>
      </c>
    </row>
    <row r="8" spans="1:18" ht="12.75" customHeight="1">
      <c r="A8" s="15" t="s">
        <v>48</v>
      </c>
      <c r="B8" s="60">
        <v>3</v>
      </c>
      <c r="C8" s="61">
        <v>5</v>
      </c>
      <c r="D8" s="60">
        <v>1</v>
      </c>
      <c r="E8" s="61">
        <v>2</v>
      </c>
      <c r="F8" s="60">
        <v>0</v>
      </c>
      <c r="G8" s="61">
        <v>0</v>
      </c>
      <c r="H8" s="60">
        <v>0</v>
      </c>
      <c r="I8" s="61">
        <v>0</v>
      </c>
      <c r="J8" s="60">
        <v>0</v>
      </c>
      <c r="K8" s="61">
        <v>0</v>
      </c>
      <c r="L8" s="60">
        <v>0</v>
      </c>
      <c r="M8" s="61">
        <v>0</v>
      </c>
      <c r="N8" s="82">
        <v>0</v>
      </c>
      <c r="O8" s="82">
        <v>0</v>
      </c>
      <c r="P8" s="60">
        <f t="shared" si="0"/>
        <v>4</v>
      </c>
      <c r="Q8" s="61">
        <f t="shared" si="0"/>
        <v>7</v>
      </c>
      <c r="R8" s="62">
        <f>Q8+P8</f>
        <v>11</v>
      </c>
    </row>
    <row r="9" spans="1:18" ht="12.75" customHeight="1">
      <c r="A9" s="15" t="s">
        <v>50</v>
      </c>
      <c r="B9" s="60">
        <v>5</v>
      </c>
      <c r="C9" s="61">
        <v>6</v>
      </c>
      <c r="D9" s="60">
        <v>2</v>
      </c>
      <c r="E9" s="61">
        <v>1</v>
      </c>
      <c r="F9" s="60">
        <v>1</v>
      </c>
      <c r="G9" s="61">
        <v>1</v>
      </c>
      <c r="H9" s="60">
        <v>0</v>
      </c>
      <c r="I9" s="61">
        <v>0</v>
      </c>
      <c r="J9" s="60">
        <v>0</v>
      </c>
      <c r="K9" s="61">
        <v>0</v>
      </c>
      <c r="L9" s="60">
        <v>0</v>
      </c>
      <c r="M9" s="61">
        <v>0</v>
      </c>
      <c r="N9" s="82">
        <v>0</v>
      </c>
      <c r="O9" s="82">
        <v>0</v>
      </c>
      <c r="P9" s="60">
        <f t="shared" si="0"/>
        <v>8</v>
      </c>
      <c r="Q9" s="61">
        <f t="shared" si="0"/>
        <v>8</v>
      </c>
      <c r="R9" s="62">
        <f>Q9+P9</f>
        <v>16</v>
      </c>
    </row>
    <row r="10" spans="1:18" ht="12.75" customHeight="1">
      <c r="A10" s="15" t="s">
        <v>57</v>
      </c>
      <c r="B10" s="60">
        <v>6</v>
      </c>
      <c r="C10" s="61">
        <v>7</v>
      </c>
      <c r="D10" s="60">
        <v>0</v>
      </c>
      <c r="E10" s="61">
        <v>0</v>
      </c>
      <c r="F10" s="60">
        <v>0</v>
      </c>
      <c r="G10" s="61">
        <v>0</v>
      </c>
      <c r="H10" s="60">
        <v>1</v>
      </c>
      <c r="I10" s="61">
        <v>0</v>
      </c>
      <c r="J10" s="60">
        <v>0</v>
      </c>
      <c r="K10" s="61">
        <v>0</v>
      </c>
      <c r="L10" s="60">
        <v>2</v>
      </c>
      <c r="M10" s="61">
        <v>2</v>
      </c>
      <c r="N10" s="82">
        <v>0</v>
      </c>
      <c r="O10" s="82">
        <v>0</v>
      </c>
      <c r="P10" s="60">
        <f t="shared" si="0"/>
        <v>9</v>
      </c>
      <c r="Q10" s="61">
        <f t="shared" si="0"/>
        <v>9</v>
      </c>
      <c r="R10" s="62">
        <f>Q10+P10</f>
        <v>18</v>
      </c>
    </row>
    <row r="11" spans="2:18" ht="12.75" customHeight="1">
      <c r="B11" s="9"/>
      <c r="C11" s="10"/>
      <c r="D11" s="9"/>
      <c r="E11" s="10"/>
      <c r="F11" s="9"/>
      <c r="G11" s="10"/>
      <c r="H11" s="9"/>
      <c r="I11" s="10"/>
      <c r="J11" s="9"/>
      <c r="K11" s="10"/>
      <c r="L11" s="9"/>
      <c r="M11" s="10"/>
      <c r="N11" s="20"/>
      <c r="O11" s="20"/>
      <c r="P11" s="9"/>
      <c r="Q11" s="10"/>
      <c r="R11" s="11"/>
    </row>
    <row r="13" ht="12.75" customHeight="1">
      <c r="A13" s="6" t="s">
        <v>13</v>
      </c>
    </row>
    <row r="14" spans="1:18" ht="12.75" customHeight="1">
      <c r="A14" s="6" t="s">
        <v>11</v>
      </c>
      <c r="B14" s="45" t="s">
        <v>1</v>
      </c>
      <c r="C14" s="46"/>
      <c r="D14" s="45" t="s">
        <v>2</v>
      </c>
      <c r="E14" s="46"/>
      <c r="F14" s="45" t="s">
        <v>3</v>
      </c>
      <c r="G14" s="46"/>
      <c r="H14" s="45" t="s">
        <v>4</v>
      </c>
      <c r="I14" s="46"/>
      <c r="J14" s="45" t="s">
        <v>5</v>
      </c>
      <c r="K14" s="46"/>
      <c r="L14" s="45" t="s">
        <v>6</v>
      </c>
      <c r="M14" s="46"/>
      <c r="N14" s="105" t="s">
        <v>45</v>
      </c>
      <c r="O14" s="105"/>
      <c r="P14" s="45" t="s">
        <v>7</v>
      </c>
      <c r="Q14" s="46"/>
      <c r="R14" s="41" t="s">
        <v>8</v>
      </c>
    </row>
    <row r="15" spans="1:18" ht="12.75" customHeight="1">
      <c r="A15" s="6" t="s">
        <v>12</v>
      </c>
      <c r="B15" s="42" t="s">
        <v>9</v>
      </c>
      <c r="C15" s="43" t="s">
        <v>10</v>
      </c>
      <c r="D15" s="42" t="s">
        <v>9</v>
      </c>
      <c r="E15" s="43" t="s">
        <v>10</v>
      </c>
      <c r="F15" s="42" t="s">
        <v>9</v>
      </c>
      <c r="G15" s="43" t="s">
        <v>10</v>
      </c>
      <c r="H15" s="42" t="s">
        <v>9</v>
      </c>
      <c r="I15" s="43" t="s">
        <v>10</v>
      </c>
      <c r="J15" s="42" t="s">
        <v>9</v>
      </c>
      <c r="K15" s="43" t="s">
        <v>10</v>
      </c>
      <c r="L15" s="42" t="s">
        <v>9</v>
      </c>
      <c r="M15" s="43" t="s">
        <v>10</v>
      </c>
      <c r="N15" s="42" t="s">
        <v>9</v>
      </c>
      <c r="O15" s="43" t="s">
        <v>10</v>
      </c>
      <c r="P15" s="42" t="s">
        <v>9</v>
      </c>
      <c r="Q15" s="43" t="s">
        <v>10</v>
      </c>
      <c r="R15" s="44" t="s">
        <v>7</v>
      </c>
    </row>
    <row r="16" spans="1:18" ht="12.75" customHeight="1">
      <c r="A16" s="6"/>
      <c r="B16" s="12"/>
      <c r="C16" s="13"/>
      <c r="D16" s="12"/>
      <c r="E16" s="13"/>
      <c r="F16" s="12"/>
      <c r="G16" s="13"/>
      <c r="H16" s="12"/>
      <c r="I16" s="13"/>
      <c r="J16" s="12"/>
      <c r="K16" s="13"/>
      <c r="L16" s="12"/>
      <c r="M16" s="13"/>
      <c r="N16" s="106"/>
      <c r="O16" s="106"/>
      <c r="P16" s="12"/>
      <c r="Q16" s="13"/>
      <c r="R16" s="14"/>
    </row>
    <row r="17" spans="1:18" s="16" customFormat="1" ht="12.75" customHeight="1">
      <c r="A17" s="15" t="s">
        <v>42</v>
      </c>
      <c r="B17" s="60">
        <v>17</v>
      </c>
      <c r="C17" s="61">
        <v>24</v>
      </c>
      <c r="D17" s="60">
        <v>4</v>
      </c>
      <c r="E17" s="61">
        <v>10</v>
      </c>
      <c r="F17" s="60">
        <v>1</v>
      </c>
      <c r="G17" s="61">
        <v>1</v>
      </c>
      <c r="H17" s="60">
        <v>2</v>
      </c>
      <c r="I17" s="61">
        <v>0</v>
      </c>
      <c r="J17" s="60">
        <v>1</v>
      </c>
      <c r="K17" s="61">
        <v>0</v>
      </c>
      <c r="L17" s="60">
        <v>1</v>
      </c>
      <c r="M17" s="61">
        <v>2</v>
      </c>
      <c r="N17" s="82">
        <v>0</v>
      </c>
      <c r="O17" s="82">
        <v>0</v>
      </c>
      <c r="P17" s="60">
        <f aca="true" t="shared" si="1" ref="P17:Q19">L17+J17+H17+F17+D17+B17</f>
        <v>26</v>
      </c>
      <c r="Q17" s="61">
        <f t="shared" si="1"/>
        <v>37</v>
      </c>
      <c r="R17" s="62">
        <f>Q17+P17</f>
        <v>63</v>
      </c>
    </row>
    <row r="18" spans="1:18" s="16" customFormat="1" ht="12.75" customHeight="1">
      <c r="A18" s="15" t="s">
        <v>44</v>
      </c>
      <c r="B18" s="60">
        <v>31</v>
      </c>
      <c r="C18" s="61">
        <v>19</v>
      </c>
      <c r="D18" s="60">
        <v>0</v>
      </c>
      <c r="E18" s="61">
        <v>9</v>
      </c>
      <c r="F18" s="60">
        <v>1</v>
      </c>
      <c r="G18" s="61">
        <v>0</v>
      </c>
      <c r="H18" s="60">
        <v>1</v>
      </c>
      <c r="I18" s="61">
        <v>0</v>
      </c>
      <c r="J18" s="60">
        <v>1</v>
      </c>
      <c r="K18" s="61">
        <v>1</v>
      </c>
      <c r="L18" s="60">
        <v>0</v>
      </c>
      <c r="M18" s="61">
        <v>0</v>
      </c>
      <c r="N18" s="82">
        <v>0</v>
      </c>
      <c r="O18" s="82">
        <v>0</v>
      </c>
      <c r="P18" s="60">
        <f t="shared" si="1"/>
        <v>34</v>
      </c>
      <c r="Q18" s="61">
        <f t="shared" si="1"/>
        <v>29</v>
      </c>
      <c r="R18" s="62">
        <f>Q18+P18</f>
        <v>63</v>
      </c>
    </row>
    <row r="19" spans="1:18" s="16" customFormat="1" ht="12.75" customHeight="1">
      <c r="A19" s="15" t="s">
        <v>48</v>
      </c>
      <c r="B19" s="60">
        <v>29</v>
      </c>
      <c r="C19" s="61">
        <v>26</v>
      </c>
      <c r="D19" s="60">
        <v>6</v>
      </c>
      <c r="E19" s="61">
        <v>8</v>
      </c>
      <c r="F19" s="60">
        <v>1</v>
      </c>
      <c r="G19" s="61">
        <v>1</v>
      </c>
      <c r="H19" s="60">
        <v>1</v>
      </c>
      <c r="I19" s="61">
        <v>1</v>
      </c>
      <c r="J19" s="60">
        <v>0</v>
      </c>
      <c r="K19" s="61">
        <v>0</v>
      </c>
      <c r="L19" s="60">
        <v>0</v>
      </c>
      <c r="M19" s="61">
        <v>0</v>
      </c>
      <c r="N19" s="82">
        <v>0</v>
      </c>
      <c r="O19" s="82">
        <v>0</v>
      </c>
      <c r="P19" s="60">
        <f t="shared" si="1"/>
        <v>37</v>
      </c>
      <c r="Q19" s="61">
        <f t="shared" si="1"/>
        <v>36</v>
      </c>
      <c r="R19" s="62">
        <f>Q19+P19</f>
        <v>73</v>
      </c>
    </row>
    <row r="20" spans="1:18" s="16" customFormat="1" ht="12.75" customHeight="1">
      <c r="A20" s="15" t="s">
        <v>50</v>
      </c>
      <c r="B20" s="60">
        <v>25</v>
      </c>
      <c r="C20" s="61">
        <v>33</v>
      </c>
      <c r="D20" s="60">
        <v>6</v>
      </c>
      <c r="E20" s="61">
        <v>8</v>
      </c>
      <c r="F20" s="60">
        <v>0</v>
      </c>
      <c r="G20" s="61">
        <v>1</v>
      </c>
      <c r="H20" s="60">
        <v>1</v>
      </c>
      <c r="I20" s="61">
        <v>0</v>
      </c>
      <c r="J20" s="60">
        <v>0</v>
      </c>
      <c r="K20" s="61">
        <v>0</v>
      </c>
      <c r="L20" s="60">
        <v>1</v>
      </c>
      <c r="M20" s="61">
        <v>2</v>
      </c>
      <c r="N20" s="82">
        <v>0</v>
      </c>
      <c r="O20" s="82">
        <v>2</v>
      </c>
      <c r="P20" s="60">
        <f>L20+J20+H20+F20+D20+B20+N20</f>
        <v>33</v>
      </c>
      <c r="Q20" s="61">
        <f>M20+K20+I20+G20+E20+C20+O20</f>
        <v>46</v>
      </c>
      <c r="R20" s="62">
        <f>Q20+P20</f>
        <v>79</v>
      </c>
    </row>
    <row r="21" spans="1:18" s="16" customFormat="1" ht="12.75" customHeight="1">
      <c r="A21" s="15" t="s">
        <v>57</v>
      </c>
      <c r="B21" s="60">
        <v>28</v>
      </c>
      <c r="C21" s="61">
        <v>18</v>
      </c>
      <c r="D21" s="60">
        <v>3</v>
      </c>
      <c r="E21" s="61">
        <v>10</v>
      </c>
      <c r="F21" s="60">
        <v>0</v>
      </c>
      <c r="G21" s="61">
        <v>1</v>
      </c>
      <c r="H21" s="60">
        <v>1</v>
      </c>
      <c r="I21" s="61">
        <v>0</v>
      </c>
      <c r="J21" s="60">
        <v>0</v>
      </c>
      <c r="K21" s="61">
        <v>1</v>
      </c>
      <c r="L21" s="60">
        <v>0</v>
      </c>
      <c r="M21" s="61">
        <v>0</v>
      </c>
      <c r="N21" s="82">
        <v>0</v>
      </c>
      <c r="O21" s="82">
        <v>1</v>
      </c>
      <c r="P21" s="60">
        <f>L21+J21+H21+F21+D21+B21+N21</f>
        <v>32</v>
      </c>
      <c r="Q21" s="61">
        <f>M21+K21+I21+G21+E21+C21+O21</f>
        <v>31</v>
      </c>
      <c r="R21" s="62">
        <f>Q21+P21</f>
        <v>63</v>
      </c>
    </row>
    <row r="22" spans="2:18" ht="12.75" customHeight="1">
      <c r="B22" s="9"/>
      <c r="C22" s="10"/>
      <c r="D22" s="9"/>
      <c r="E22" s="10"/>
      <c r="F22" s="9"/>
      <c r="G22" s="10"/>
      <c r="H22" s="9"/>
      <c r="I22" s="10"/>
      <c r="J22" s="9"/>
      <c r="K22" s="10"/>
      <c r="L22" s="9"/>
      <c r="M22" s="10"/>
      <c r="N22" s="20"/>
      <c r="O22" s="20"/>
      <c r="P22" s="9"/>
      <c r="Q22" s="10"/>
      <c r="R22" s="11"/>
    </row>
    <row r="24" ht="12.75" customHeight="1">
      <c r="A24" s="35"/>
    </row>
    <row r="25" spans="1:2" ht="12.75" customHeight="1">
      <c r="A25" s="35"/>
      <c r="B25" s="35"/>
    </row>
    <row r="26" spans="1:15" ht="12.75" customHeight="1">
      <c r="A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</row>
    <row r="42" spans="1:18" s="16" customFormat="1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74" spans="1:18" s="16" customFormat="1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84" spans="1:18" s="16" customFormat="1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106" spans="1:18" s="16" customFormat="1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18" spans="1:18" s="16" customFormat="1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29" spans="1:18" s="16" customFormat="1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42" spans="1:18" s="16" customFormat="1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74" spans="1:18" s="16" customFormat="1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84" spans="1:18" s="16" customFormat="1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</sheetData>
  <printOptions horizontalCentered="1"/>
  <pageMargins left="0.25" right="0.25" top="1" bottom="0.75" header="0.5" footer="0.25"/>
  <pageSetup fitToHeight="1" fitToWidth="1" horizontalDpi="300" verticalDpi="300" orientation="landscape" scale="93" r:id="rId1"/>
  <headerFooter alignWithMargins="0">
    <oddHeader>&amp;CThe University of Alabama in Huntsville
Unit Academic Reports 
</oddHeader>
    <oddFooter xml:space="preserve">&amp;L&amp;8Office of Institutional Research
&amp;D (ly)
&amp;F 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37">
    <pageSetUpPr fitToPage="1"/>
  </sheetPr>
  <dimension ref="A1:M159"/>
  <sheetViews>
    <sheetView workbookViewId="0" topLeftCell="A1">
      <selection activeCell="D10" sqref="D10"/>
    </sheetView>
  </sheetViews>
  <sheetFormatPr defaultColWidth="9.140625" defaultRowHeight="12.75" customHeight="1"/>
  <cols>
    <col min="1" max="1" width="22.7109375" style="35" customWidth="1"/>
    <col min="2" max="8" width="13.7109375" style="2" customWidth="1"/>
    <col min="9" max="16384" width="9.140625" style="2" customWidth="1"/>
  </cols>
  <sheetData>
    <row r="1" spans="1:8" ht="12.75" customHeight="1">
      <c r="A1" s="1" t="s">
        <v>32</v>
      </c>
      <c r="B1" s="16"/>
      <c r="C1" s="16"/>
      <c r="D1" s="16"/>
      <c r="E1" s="16"/>
      <c r="F1"/>
      <c r="G1"/>
      <c r="H1"/>
    </row>
    <row r="2" spans="1:8" ht="12.75" customHeight="1">
      <c r="A2" s="6"/>
      <c r="F2"/>
      <c r="G2"/>
      <c r="H2"/>
    </row>
    <row r="3" spans="1:8" ht="12.75" customHeight="1">
      <c r="A3" s="6" t="s">
        <v>13</v>
      </c>
      <c r="F3"/>
      <c r="G3"/>
      <c r="H3"/>
    </row>
    <row r="4" spans="1:4" s="38" customFormat="1" ht="12.75" customHeight="1">
      <c r="A4" s="39" t="s">
        <v>11</v>
      </c>
      <c r="B4" s="47" t="s">
        <v>16</v>
      </c>
      <c r="C4" s="47" t="s">
        <v>14</v>
      </c>
      <c r="D4" s="47" t="s">
        <v>15</v>
      </c>
    </row>
    <row r="5" spans="2:7" ht="12.75" customHeight="1">
      <c r="B5" s="8"/>
      <c r="C5" s="8"/>
      <c r="D5" s="8"/>
      <c r="E5"/>
      <c r="F5"/>
      <c r="G5"/>
    </row>
    <row r="6" spans="1:7" s="16" customFormat="1" ht="12.75" customHeight="1">
      <c r="A6" s="6" t="s">
        <v>42</v>
      </c>
      <c r="B6" s="14">
        <v>24</v>
      </c>
      <c r="C6" s="14">
        <f>PSC!R17</f>
        <v>63</v>
      </c>
      <c r="D6" s="14">
        <v>55</v>
      </c>
      <c r="E6" s="26"/>
      <c r="F6" s="26"/>
      <c r="G6" s="26"/>
    </row>
    <row r="7" spans="1:7" s="16" customFormat="1" ht="12.75" customHeight="1">
      <c r="A7" s="6" t="s">
        <v>44</v>
      </c>
      <c r="B7" s="14">
        <v>22</v>
      </c>
      <c r="C7" s="14">
        <f>PSC!R18</f>
        <v>63</v>
      </c>
      <c r="D7" s="14">
        <v>62</v>
      </c>
      <c r="E7" s="26"/>
      <c r="F7" s="26"/>
      <c r="G7" s="26"/>
    </row>
    <row r="8" spans="1:7" s="16" customFormat="1" ht="12.75" customHeight="1">
      <c r="A8" s="6" t="s">
        <v>48</v>
      </c>
      <c r="B8" s="14">
        <v>26</v>
      </c>
      <c r="C8" s="14">
        <f>PSC!R19</f>
        <v>73</v>
      </c>
      <c r="D8" s="14">
        <v>69</v>
      </c>
      <c r="E8" s="26"/>
      <c r="F8" s="26"/>
      <c r="G8" s="26"/>
    </row>
    <row r="9" spans="1:7" s="16" customFormat="1" ht="12.75" customHeight="1">
      <c r="A9" s="15" t="s">
        <v>50</v>
      </c>
      <c r="B9" s="14">
        <v>30</v>
      </c>
      <c r="C9" s="14">
        <f>PSC!R20</f>
        <v>79</v>
      </c>
      <c r="D9" s="14">
        <v>81</v>
      </c>
      <c r="E9" s="26"/>
      <c r="F9" s="26"/>
      <c r="G9" s="26"/>
    </row>
    <row r="10" spans="1:7" s="16" customFormat="1" ht="12.75" customHeight="1">
      <c r="A10" s="15" t="s">
        <v>57</v>
      </c>
      <c r="B10" s="14">
        <v>33</v>
      </c>
      <c r="C10" s="14">
        <f>PSC!R21</f>
        <v>63</v>
      </c>
      <c r="D10" s="14">
        <v>68</v>
      </c>
      <c r="E10" s="26"/>
      <c r="F10" s="26"/>
      <c r="G10" s="26"/>
    </row>
    <row r="11" spans="1:7" ht="12.75" customHeight="1">
      <c r="A11" s="6"/>
      <c r="B11" s="7"/>
      <c r="C11" s="7"/>
      <c r="D11" s="7"/>
      <c r="E11"/>
      <c r="F11"/>
      <c r="G11"/>
    </row>
    <row r="12" spans="6:8" ht="12.75" customHeight="1">
      <c r="F12"/>
      <c r="G12"/>
      <c r="H12"/>
    </row>
    <row r="13" spans="1:8" s="38" customFormat="1" ht="12.75" customHeight="1">
      <c r="A13" s="39" t="s">
        <v>56</v>
      </c>
      <c r="B13" s="48" t="s">
        <v>13</v>
      </c>
      <c r="C13" s="48" t="s">
        <v>13</v>
      </c>
      <c r="D13" s="48" t="s">
        <v>7</v>
      </c>
      <c r="E13" s="48" t="s">
        <v>17</v>
      </c>
      <c r="F13" s="48" t="s">
        <v>17</v>
      </c>
      <c r="G13" s="49" t="s">
        <v>7</v>
      </c>
      <c r="H13" s="49" t="s">
        <v>8</v>
      </c>
    </row>
    <row r="14" spans="1:8" s="38" customFormat="1" ht="12.75" customHeight="1">
      <c r="A14" s="39"/>
      <c r="B14" s="50" t="s">
        <v>18</v>
      </c>
      <c r="C14" s="50" t="s">
        <v>19</v>
      </c>
      <c r="D14" s="50" t="s">
        <v>13</v>
      </c>
      <c r="E14" s="50" t="s">
        <v>20</v>
      </c>
      <c r="F14" s="50" t="s">
        <v>21</v>
      </c>
      <c r="G14" s="51" t="s">
        <v>17</v>
      </c>
      <c r="H14" s="51" t="s">
        <v>7</v>
      </c>
    </row>
    <row r="15" spans="2:8" ht="12.75" customHeight="1">
      <c r="B15" s="3"/>
      <c r="C15" s="3"/>
      <c r="D15" s="3"/>
      <c r="E15" s="3"/>
      <c r="F15" s="3"/>
      <c r="G15" s="3"/>
      <c r="H15" s="8"/>
    </row>
    <row r="16" spans="1:8" ht="12.75" customHeight="1">
      <c r="A16" s="6" t="s">
        <v>42</v>
      </c>
      <c r="B16" s="74">
        <v>1557</v>
      </c>
      <c r="C16" s="74">
        <v>497</v>
      </c>
      <c r="D16" s="74">
        <f>C16+B16</f>
        <v>2054</v>
      </c>
      <c r="E16" s="74">
        <v>228</v>
      </c>
      <c r="F16" s="74">
        <v>0</v>
      </c>
      <c r="G16" s="74">
        <f>F16+E16</f>
        <v>228</v>
      </c>
      <c r="H16" s="75">
        <f>G16+D16</f>
        <v>2282</v>
      </c>
    </row>
    <row r="17" spans="1:8" ht="12.75" customHeight="1">
      <c r="A17" s="6" t="s">
        <v>44</v>
      </c>
      <c r="B17" s="74">
        <v>1803</v>
      </c>
      <c r="C17" s="74">
        <v>651</v>
      </c>
      <c r="D17" s="74">
        <f>C17+B17</f>
        <v>2454</v>
      </c>
      <c r="E17" s="74">
        <v>336</v>
      </c>
      <c r="F17" s="74">
        <v>0</v>
      </c>
      <c r="G17" s="74">
        <f>F17+E17</f>
        <v>336</v>
      </c>
      <c r="H17" s="75">
        <f>G17+D17</f>
        <v>2790</v>
      </c>
    </row>
    <row r="18" spans="1:8" ht="12.75" customHeight="1">
      <c r="A18" s="6" t="s">
        <v>48</v>
      </c>
      <c r="B18" s="74">
        <v>1875</v>
      </c>
      <c r="C18" s="74">
        <v>724</v>
      </c>
      <c r="D18" s="74">
        <f>C18+B18</f>
        <v>2599</v>
      </c>
      <c r="E18" s="74">
        <v>354</v>
      </c>
      <c r="F18" s="74">
        <v>0</v>
      </c>
      <c r="G18" s="74">
        <f>F18+E18</f>
        <v>354</v>
      </c>
      <c r="H18" s="75">
        <f>G18+D18</f>
        <v>2953</v>
      </c>
    </row>
    <row r="19" spans="1:8" ht="12.75" customHeight="1">
      <c r="A19" s="15" t="s">
        <v>50</v>
      </c>
      <c r="B19" s="74">
        <f>168+738+807</f>
        <v>1713</v>
      </c>
      <c r="C19" s="74">
        <f>19+390+372</f>
        <v>781</v>
      </c>
      <c r="D19" s="74">
        <f>C19+B19</f>
        <v>2494</v>
      </c>
      <c r="E19" s="74">
        <f>75+123+150</f>
        <v>348</v>
      </c>
      <c r="F19" s="74">
        <v>0</v>
      </c>
      <c r="G19" s="74">
        <f>F19+E19</f>
        <v>348</v>
      </c>
      <c r="H19" s="75">
        <f>G19+D19</f>
        <v>2842</v>
      </c>
    </row>
    <row r="20" spans="1:8" ht="12.75" customHeight="1">
      <c r="A20" s="15" t="s">
        <v>57</v>
      </c>
      <c r="B20" s="74">
        <f>153+966+765</f>
        <v>1884</v>
      </c>
      <c r="C20" s="74">
        <f>81+336+348</f>
        <v>765</v>
      </c>
      <c r="D20" s="74">
        <f>C20+B20</f>
        <v>2649</v>
      </c>
      <c r="E20" s="74">
        <f>69+111+129</f>
        <v>309</v>
      </c>
      <c r="F20" s="74">
        <v>0</v>
      </c>
      <c r="G20" s="74">
        <f>F20+E20</f>
        <v>309</v>
      </c>
      <c r="H20" s="75">
        <f>G20+D20</f>
        <v>2958</v>
      </c>
    </row>
    <row r="21" spans="1:8" ht="12.75" customHeight="1">
      <c r="A21" s="36"/>
      <c r="B21" s="9"/>
      <c r="C21" s="9"/>
      <c r="D21" s="9"/>
      <c r="E21" s="9"/>
      <c r="F21" s="9"/>
      <c r="G21" s="9"/>
      <c r="H21" s="11"/>
    </row>
    <row r="22" spans="1:5" ht="12.75" customHeight="1">
      <c r="A22" s="36"/>
      <c r="B22"/>
      <c r="C22"/>
      <c r="D22"/>
      <c r="E22"/>
    </row>
    <row r="23" spans="1:8" s="38" customFormat="1" ht="12.75" customHeight="1">
      <c r="A23" s="39" t="s">
        <v>55</v>
      </c>
      <c r="B23" s="48" t="s">
        <v>13</v>
      </c>
      <c r="C23" s="48" t="s">
        <v>13</v>
      </c>
      <c r="D23" s="48" t="s">
        <v>7</v>
      </c>
      <c r="E23" s="48" t="s">
        <v>17</v>
      </c>
      <c r="F23" s="48" t="s">
        <v>22</v>
      </c>
      <c r="G23" s="48" t="s">
        <v>23</v>
      </c>
      <c r="H23" s="49" t="s">
        <v>8</v>
      </c>
    </row>
    <row r="24" spans="2:8" s="38" customFormat="1" ht="12.75" customHeight="1">
      <c r="B24" s="50" t="s">
        <v>18</v>
      </c>
      <c r="C24" s="50" t="s">
        <v>19</v>
      </c>
      <c r="D24" s="50" t="s">
        <v>13</v>
      </c>
      <c r="E24" s="50" t="s">
        <v>20</v>
      </c>
      <c r="F24" s="50" t="s">
        <v>21</v>
      </c>
      <c r="G24" s="50" t="s">
        <v>17</v>
      </c>
      <c r="H24" s="51" t="s">
        <v>7</v>
      </c>
    </row>
    <row r="25" spans="2:8" ht="12.75" customHeight="1">
      <c r="B25" s="12"/>
      <c r="C25" s="12"/>
      <c r="D25" s="12"/>
      <c r="E25" s="12"/>
      <c r="F25" s="12"/>
      <c r="G25" s="12"/>
      <c r="H25" s="14"/>
    </row>
    <row r="26" spans="1:8" ht="12.75" customHeight="1">
      <c r="A26" s="6" t="s">
        <v>42</v>
      </c>
      <c r="B26" s="24">
        <f>B16*0.85</f>
        <v>1323.45</v>
      </c>
      <c r="C26" s="24">
        <f>C16*1.15</f>
        <v>571.55</v>
      </c>
      <c r="D26" s="24">
        <f>C26+B26</f>
        <v>1895</v>
      </c>
      <c r="E26" s="24">
        <f>E16*2.73</f>
        <v>622.4399999999999</v>
      </c>
      <c r="F26" s="24">
        <v>0</v>
      </c>
      <c r="G26" s="24">
        <f>F26+E26</f>
        <v>622.4399999999999</v>
      </c>
      <c r="H26" s="25">
        <f>G26+D26</f>
        <v>2517.44</v>
      </c>
    </row>
    <row r="27" spans="1:8" ht="12.75" customHeight="1">
      <c r="A27" s="6" t="s">
        <v>44</v>
      </c>
      <c r="B27" s="24">
        <f>B17*0.85</f>
        <v>1532.55</v>
      </c>
      <c r="C27" s="24">
        <f>C17*1.15</f>
        <v>748.65</v>
      </c>
      <c r="D27" s="24">
        <f>C27+B27</f>
        <v>2281.2</v>
      </c>
      <c r="E27" s="24">
        <f>E17*2.73</f>
        <v>917.28</v>
      </c>
      <c r="F27" s="24">
        <v>0</v>
      </c>
      <c r="G27" s="24">
        <f>F27+E27</f>
        <v>917.28</v>
      </c>
      <c r="H27" s="25">
        <f>G27+D27</f>
        <v>3198.4799999999996</v>
      </c>
    </row>
    <row r="28" spans="1:8" ht="12.75" customHeight="1">
      <c r="A28" s="6" t="s">
        <v>48</v>
      </c>
      <c r="B28" s="24">
        <f>B18*0.85</f>
        <v>1593.75</v>
      </c>
      <c r="C28" s="24">
        <f>C18*1.15</f>
        <v>832.5999999999999</v>
      </c>
      <c r="D28" s="24">
        <f>C28+B28</f>
        <v>2426.35</v>
      </c>
      <c r="E28" s="24">
        <f>E18*2.73</f>
        <v>966.42</v>
      </c>
      <c r="F28" s="24">
        <v>0</v>
      </c>
      <c r="G28" s="24">
        <f>F28+E28</f>
        <v>966.42</v>
      </c>
      <c r="H28" s="25">
        <f>G28+D28</f>
        <v>3392.77</v>
      </c>
    </row>
    <row r="29" spans="1:8" ht="12.75" customHeight="1">
      <c r="A29" s="15" t="s">
        <v>50</v>
      </c>
      <c r="B29" s="24">
        <f>B19*0.85</f>
        <v>1456.05</v>
      </c>
      <c r="C29" s="24">
        <f>C19*1.15</f>
        <v>898.15</v>
      </c>
      <c r="D29" s="24">
        <f>C29+B29</f>
        <v>2354.2</v>
      </c>
      <c r="E29" s="24">
        <f>E19*2.73</f>
        <v>950.04</v>
      </c>
      <c r="F29" s="24">
        <v>0</v>
      </c>
      <c r="G29" s="24">
        <f>F29+E29</f>
        <v>950.04</v>
      </c>
      <c r="H29" s="25">
        <f>G29+D29</f>
        <v>3304.24</v>
      </c>
    </row>
    <row r="30" spans="1:8" ht="12.75" customHeight="1">
      <c r="A30" s="15" t="s">
        <v>57</v>
      </c>
      <c r="B30" s="24">
        <f>B20*0.85</f>
        <v>1601.3999999999999</v>
      </c>
      <c r="C30" s="24">
        <f>C20*1.15</f>
        <v>879.7499999999999</v>
      </c>
      <c r="D30" s="24">
        <f>C30+B30</f>
        <v>2481.1499999999996</v>
      </c>
      <c r="E30" s="24">
        <f>E20*2.73</f>
        <v>843.57</v>
      </c>
      <c r="F30" s="24">
        <v>0</v>
      </c>
      <c r="G30" s="24">
        <f>F30+E30</f>
        <v>843.57</v>
      </c>
      <c r="H30" s="25">
        <f>G30+D30</f>
        <v>3324.72</v>
      </c>
    </row>
    <row r="31" spans="1:8" ht="12.75" customHeight="1">
      <c r="A31" s="36"/>
      <c r="B31" s="9"/>
      <c r="C31" s="9"/>
      <c r="D31" s="9"/>
      <c r="E31" s="9"/>
      <c r="F31" s="9"/>
      <c r="G31" s="9"/>
      <c r="H31" s="11"/>
    </row>
    <row r="32" spans="6:8" ht="12.75" customHeight="1">
      <c r="F32"/>
      <c r="G32"/>
      <c r="H32"/>
    </row>
    <row r="33" ht="12.75" customHeight="1">
      <c r="A33" s="95" t="s">
        <v>58</v>
      </c>
    </row>
    <row r="62" spans="1:13" s="16" customFormat="1" ht="12.75" customHeight="1">
      <c r="A62" s="35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94" spans="1:13" s="16" customFormat="1" ht="12.75" customHeight="1">
      <c r="A94" s="35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105" spans="1:13" s="16" customFormat="1" ht="12.75" customHeight="1">
      <c r="A105" s="35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8" spans="1:13" s="16" customFormat="1" ht="12.75" customHeight="1">
      <c r="A138" s="35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50" spans="1:13" s="16" customFormat="1" ht="12.75" customHeight="1">
      <c r="A150" s="35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9" spans="1:13" s="16" customFormat="1" ht="12.75" customHeight="1">
      <c r="A159" s="35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 xml:space="preserve">&amp;L&amp;8Office of Institutional Research
&amp;D (ly)
&amp;F 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R142"/>
  <sheetViews>
    <sheetView workbookViewId="0" topLeftCell="A1">
      <selection activeCell="D20" sqref="D20"/>
    </sheetView>
  </sheetViews>
  <sheetFormatPr defaultColWidth="9.140625" defaultRowHeight="12.75" customHeight="1"/>
  <cols>
    <col min="1" max="1" width="20.7109375" style="2" customWidth="1"/>
    <col min="2" max="17" width="7.28125" style="2" customWidth="1"/>
    <col min="18" max="16384" width="9.140625" style="2" customWidth="1"/>
  </cols>
  <sheetData>
    <row r="1" ht="12.75" customHeight="1">
      <c r="A1" s="1" t="s">
        <v>33</v>
      </c>
    </row>
    <row r="2" ht="10.5" customHeight="1">
      <c r="A2" s="1"/>
    </row>
    <row r="3" spans="1:18" ht="12.75" customHeight="1">
      <c r="A3"/>
      <c r="B3" s="45" t="s">
        <v>1</v>
      </c>
      <c r="C3" s="46"/>
      <c r="D3" s="45" t="s">
        <v>2</v>
      </c>
      <c r="E3" s="46"/>
      <c r="F3" s="45" t="s">
        <v>3</v>
      </c>
      <c r="G3" s="46"/>
      <c r="H3" s="45" t="s">
        <v>4</v>
      </c>
      <c r="I3" s="46"/>
      <c r="J3" s="45" t="s">
        <v>5</v>
      </c>
      <c r="K3" s="46"/>
      <c r="L3" s="118" t="s">
        <v>6</v>
      </c>
      <c r="M3" s="119"/>
      <c r="N3" s="105" t="s">
        <v>45</v>
      </c>
      <c r="O3" s="105"/>
      <c r="P3" s="45" t="s">
        <v>7</v>
      </c>
      <c r="Q3" s="46"/>
      <c r="R3" s="41" t="s">
        <v>8</v>
      </c>
    </row>
    <row r="4" spans="1:18" ht="12.75" customHeight="1">
      <c r="A4" s="6" t="s">
        <v>61</v>
      </c>
      <c r="B4" s="42" t="s">
        <v>9</v>
      </c>
      <c r="C4" s="43" t="s">
        <v>10</v>
      </c>
      <c r="D4" s="42" t="s">
        <v>9</v>
      </c>
      <c r="E4" s="43" t="s">
        <v>10</v>
      </c>
      <c r="F4" s="42" t="s">
        <v>9</v>
      </c>
      <c r="G4" s="43" t="s">
        <v>10</v>
      </c>
      <c r="H4" s="42" t="s">
        <v>9</v>
      </c>
      <c r="I4" s="43" t="s">
        <v>10</v>
      </c>
      <c r="J4" s="42" t="s">
        <v>9</v>
      </c>
      <c r="K4" s="43" t="s">
        <v>10</v>
      </c>
      <c r="L4" s="42" t="s">
        <v>9</v>
      </c>
      <c r="M4" s="43" t="s">
        <v>10</v>
      </c>
      <c r="N4" s="42" t="s">
        <v>9</v>
      </c>
      <c r="O4" s="43" t="s">
        <v>10</v>
      </c>
      <c r="P4" s="42" t="s">
        <v>9</v>
      </c>
      <c r="Q4" s="43" t="s">
        <v>10</v>
      </c>
      <c r="R4" s="44" t="s">
        <v>7</v>
      </c>
    </row>
    <row r="5" spans="1:18" ht="10.5" customHeight="1">
      <c r="A5"/>
      <c r="B5" s="3"/>
      <c r="C5" s="4"/>
      <c r="D5" s="3"/>
      <c r="E5" s="4"/>
      <c r="F5" s="3"/>
      <c r="G5" s="4"/>
      <c r="H5" s="3"/>
      <c r="I5" s="4"/>
      <c r="J5" s="3"/>
      <c r="K5" s="4"/>
      <c r="L5" s="3"/>
      <c r="M5" s="4"/>
      <c r="N5" s="106"/>
      <c r="O5" s="106"/>
      <c r="P5" s="3"/>
      <c r="Q5" s="4"/>
      <c r="R5" s="8"/>
    </row>
    <row r="6" spans="1:18" ht="12.75" customHeight="1">
      <c r="A6" s="15" t="s">
        <v>42</v>
      </c>
      <c r="B6" s="60">
        <v>2</v>
      </c>
      <c r="C6" s="61">
        <v>13</v>
      </c>
      <c r="D6" s="60">
        <v>0</v>
      </c>
      <c r="E6" s="61">
        <v>5</v>
      </c>
      <c r="F6" s="60">
        <v>0</v>
      </c>
      <c r="G6" s="61">
        <v>0</v>
      </c>
      <c r="H6" s="60">
        <v>0</v>
      </c>
      <c r="I6" s="61">
        <v>0</v>
      </c>
      <c r="J6" s="60">
        <v>0</v>
      </c>
      <c r="K6" s="61">
        <v>0</v>
      </c>
      <c r="L6" s="60">
        <v>0</v>
      </c>
      <c r="M6" s="61">
        <v>0</v>
      </c>
      <c r="N6" s="82">
        <v>0</v>
      </c>
      <c r="O6" s="82">
        <v>0</v>
      </c>
      <c r="P6" s="60">
        <f aca="true" t="shared" si="0" ref="P6:Q10">L6+J6+H6+F6+D6+B6</f>
        <v>2</v>
      </c>
      <c r="Q6" s="61">
        <f t="shared" si="0"/>
        <v>18</v>
      </c>
      <c r="R6" s="62">
        <f>Q6+P6</f>
        <v>20</v>
      </c>
    </row>
    <row r="7" spans="1:18" ht="12.75" customHeight="1">
      <c r="A7" s="15" t="s">
        <v>44</v>
      </c>
      <c r="B7" s="60">
        <v>4</v>
      </c>
      <c r="C7" s="61">
        <v>13</v>
      </c>
      <c r="D7" s="60">
        <v>1</v>
      </c>
      <c r="E7" s="61">
        <v>5</v>
      </c>
      <c r="F7" s="60">
        <v>0</v>
      </c>
      <c r="G7" s="61">
        <v>1</v>
      </c>
      <c r="H7" s="60">
        <v>0</v>
      </c>
      <c r="I7" s="61">
        <v>0</v>
      </c>
      <c r="J7" s="60">
        <v>0</v>
      </c>
      <c r="K7" s="61">
        <v>0</v>
      </c>
      <c r="L7" s="60">
        <v>0</v>
      </c>
      <c r="M7" s="61">
        <v>0</v>
      </c>
      <c r="N7" s="82">
        <v>0</v>
      </c>
      <c r="O7" s="82">
        <v>0</v>
      </c>
      <c r="P7" s="60">
        <f t="shared" si="0"/>
        <v>5</v>
      </c>
      <c r="Q7" s="61">
        <f t="shared" si="0"/>
        <v>19</v>
      </c>
      <c r="R7" s="62">
        <f>Q7+P7</f>
        <v>24</v>
      </c>
    </row>
    <row r="8" spans="1:18" ht="12.75" customHeight="1">
      <c r="A8" s="15" t="s">
        <v>48</v>
      </c>
      <c r="B8" s="60">
        <v>3</v>
      </c>
      <c r="C8" s="61">
        <v>13</v>
      </c>
      <c r="D8" s="60">
        <v>0</v>
      </c>
      <c r="E8" s="61">
        <v>8</v>
      </c>
      <c r="F8" s="60">
        <v>0</v>
      </c>
      <c r="G8" s="61">
        <v>1</v>
      </c>
      <c r="H8" s="60">
        <v>0</v>
      </c>
      <c r="I8" s="61">
        <v>1</v>
      </c>
      <c r="J8" s="60">
        <v>0</v>
      </c>
      <c r="K8" s="61">
        <v>0</v>
      </c>
      <c r="L8" s="60">
        <v>0</v>
      </c>
      <c r="M8" s="61">
        <v>0</v>
      </c>
      <c r="N8" s="82">
        <v>0</v>
      </c>
      <c r="O8" s="82">
        <v>0</v>
      </c>
      <c r="P8" s="60">
        <f t="shared" si="0"/>
        <v>3</v>
      </c>
      <c r="Q8" s="61">
        <f t="shared" si="0"/>
        <v>23</v>
      </c>
      <c r="R8" s="62">
        <f>Q8+P8</f>
        <v>26</v>
      </c>
    </row>
    <row r="9" spans="1:18" ht="12.75" customHeight="1">
      <c r="A9" s="15" t="s">
        <v>50</v>
      </c>
      <c r="B9" s="60">
        <v>1</v>
      </c>
      <c r="C9" s="61">
        <v>14</v>
      </c>
      <c r="D9" s="60">
        <v>0</v>
      </c>
      <c r="E9" s="61">
        <v>3</v>
      </c>
      <c r="F9" s="60">
        <v>0</v>
      </c>
      <c r="G9" s="61">
        <v>0</v>
      </c>
      <c r="H9" s="60">
        <v>0</v>
      </c>
      <c r="I9" s="61">
        <v>1</v>
      </c>
      <c r="J9" s="60">
        <v>0</v>
      </c>
      <c r="K9" s="61">
        <v>0</v>
      </c>
      <c r="L9" s="60">
        <v>0</v>
      </c>
      <c r="M9" s="61">
        <v>0</v>
      </c>
      <c r="N9" s="82">
        <v>0</v>
      </c>
      <c r="O9" s="82">
        <v>0</v>
      </c>
      <c r="P9" s="60">
        <f t="shared" si="0"/>
        <v>1</v>
      </c>
      <c r="Q9" s="61">
        <f t="shared" si="0"/>
        <v>18</v>
      </c>
      <c r="R9" s="62">
        <f>Q9+P9</f>
        <v>19</v>
      </c>
    </row>
    <row r="10" spans="1:18" ht="12.75" customHeight="1">
      <c r="A10" s="15" t="s">
        <v>57</v>
      </c>
      <c r="B10" s="60">
        <v>7</v>
      </c>
      <c r="C10" s="61">
        <v>17</v>
      </c>
      <c r="D10" s="60">
        <v>0</v>
      </c>
      <c r="E10" s="61">
        <v>2</v>
      </c>
      <c r="F10" s="60">
        <v>0</v>
      </c>
      <c r="G10" s="61">
        <v>1</v>
      </c>
      <c r="H10" s="60">
        <v>0</v>
      </c>
      <c r="I10" s="61">
        <v>0</v>
      </c>
      <c r="J10" s="60">
        <v>0</v>
      </c>
      <c r="K10" s="61">
        <v>1</v>
      </c>
      <c r="L10" s="60">
        <v>0</v>
      </c>
      <c r="M10" s="61">
        <v>0</v>
      </c>
      <c r="N10" s="82">
        <v>0</v>
      </c>
      <c r="O10" s="82">
        <v>0</v>
      </c>
      <c r="P10" s="60">
        <f t="shared" si="0"/>
        <v>7</v>
      </c>
      <c r="Q10" s="61">
        <f t="shared" si="0"/>
        <v>21</v>
      </c>
      <c r="R10" s="62">
        <f>Q10+P10</f>
        <v>28</v>
      </c>
    </row>
    <row r="11" spans="2:18" ht="10.5" customHeight="1">
      <c r="B11" s="9"/>
      <c r="C11" s="10"/>
      <c r="D11" s="9"/>
      <c r="E11" s="10"/>
      <c r="F11" s="9"/>
      <c r="G11" s="10"/>
      <c r="H11" s="9"/>
      <c r="I11" s="10"/>
      <c r="J11" s="9"/>
      <c r="K11" s="10"/>
      <c r="L11" s="9"/>
      <c r="M11" s="10"/>
      <c r="N11" s="20"/>
      <c r="O11" s="20"/>
      <c r="P11" s="9"/>
      <c r="Q11" s="10"/>
      <c r="R11" s="11"/>
    </row>
    <row r="12" ht="10.5" customHeight="1"/>
    <row r="13" spans="1:18" ht="12.75" customHeight="1">
      <c r="A13"/>
      <c r="B13" s="45" t="s">
        <v>1</v>
      </c>
      <c r="C13" s="46"/>
      <c r="D13" s="45" t="s">
        <v>2</v>
      </c>
      <c r="E13" s="46"/>
      <c r="F13" s="45" t="s">
        <v>3</v>
      </c>
      <c r="G13" s="46"/>
      <c r="H13" s="45" t="s">
        <v>4</v>
      </c>
      <c r="I13" s="46"/>
      <c r="J13" s="45" t="s">
        <v>5</v>
      </c>
      <c r="K13" s="46"/>
      <c r="L13" s="118" t="s">
        <v>6</v>
      </c>
      <c r="M13" s="119"/>
      <c r="N13" s="105" t="s">
        <v>45</v>
      </c>
      <c r="O13" s="105"/>
      <c r="P13" s="45" t="s">
        <v>7</v>
      </c>
      <c r="Q13" s="46"/>
      <c r="R13" s="41" t="s">
        <v>8</v>
      </c>
    </row>
    <row r="14" spans="1:18" ht="12.75" customHeight="1">
      <c r="A14" s="6" t="s">
        <v>62</v>
      </c>
      <c r="B14" s="42" t="s">
        <v>9</v>
      </c>
      <c r="C14" s="43" t="s">
        <v>10</v>
      </c>
      <c r="D14" s="42" t="s">
        <v>9</v>
      </c>
      <c r="E14" s="43" t="s">
        <v>10</v>
      </c>
      <c r="F14" s="42" t="s">
        <v>9</v>
      </c>
      <c r="G14" s="43" t="s">
        <v>10</v>
      </c>
      <c r="H14" s="42" t="s">
        <v>9</v>
      </c>
      <c r="I14" s="43" t="s">
        <v>10</v>
      </c>
      <c r="J14" s="42" t="s">
        <v>9</v>
      </c>
      <c r="K14" s="43" t="s">
        <v>10</v>
      </c>
      <c r="L14" s="42" t="s">
        <v>9</v>
      </c>
      <c r="M14" s="43" t="s">
        <v>10</v>
      </c>
      <c r="N14" s="42" t="s">
        <v>9</v>
      </c>
      <c r="O14" s="43" t="s">
        <v>10</v>
      </c>
      <c r="P14" s="42" t="s">
        <v>9</v>
      </c>
      <c r="Q14" s="43" t="s">
        <v>10</v>
      </c>
      <c r="R14" s="44" t="s">
        <v>7</v>
      </c>
    </row>
    <row r="15" spans="1:18" ht="10.5" customHeight="1">
      <c r="A15"/>
      <c r="B15" s="3"/>
      <c r="C15" s="4"/>
      <c r="D15" s="3"/>
      <c r="E15" s="4"/>
      <c r="F15" s="3"/>
      <c r="G15" s="4"/>
      <c r="H15" s="3"/>
      <c r="I15" s="4"/>
      <c r="J15" s="3"/>
      <c r="K15" s="4"/>
      <c r="L15" s="3"/>
      <c r="M15" s="4"/>
      <c r="N15" s="106"/>
      <c r="O15" s="106"/>
      <c r="P15" s="3"/>
      <c r="Q15" s="4"/>
      <c r="R15" s="8"/>
    </row>
    <row r="16" spans="1:18" ht="12.75" customHeight="1">
      <c r="A16" s="15" t="s">
        <v>42</v>
      </c>
      <c r="B16" s="60">
        <v>0</v>
      </c>
      <c r="C16" s="61">
        <v>2</v>
      </c>
      <c r="D16" s="60">
        <v>0</v>
      </c>
      <c r="E16" s="61">
        <v>0</v>
      </c>
      <c r="F16" s="60">
        <v>0</v>
      </c>
      <c r="G16" s="61">
        <v>0</v>
      </c>
      <c r="H16" s="60">
        <v>0</v>
      </c>
      <c r="I16" s="61">
        <v>0</v>
      </c>
      <c r="J16" s="60">
        <v>0</v>
      </c>
      <c r="K16" s="61">
        <v>0</v>
      </c>
      <c r="L16" s="60">
        <v>0</v>
      </c>
      <c r="M16" s="61">
        <v>0</v>
      </c>
      <c r="N16" s="82">
        <v>0</v>
      </c>
      <c r="O16" s="82">
        <v>0</v>
      </c>
      <c r="P16" s="60">
        <f aca="true" t="shared" si="1" ref="P16:Q20">L16+J16+H16+F16+D16+B16</f>
        <v>0</v>
      </c>
      <c r="Q16" s="61">
        <f t="shared" si="1"/>
        <v>2</v>
      </c>
      <c r="R16" s="62">
        <f>Q16+P16</f>
        <v>2</v>
      </c>
    </row>
    <row r="17" spans="1:18" ht="12.75" customHeight="1">
      <c r="A17" s="15" t="s">
        <v>44</v>
      </c>
      <c r="B17" s="60">
        <v>0</v>
      </c>
      <c r="C17" s="61">
        <v>4</v>
      </c>
      <c r="D17" s="60">
        <v>0</v>
      </c>
      <c r="E17" s="61">
        <v>0</v>
      </c>
      <c r="F17" s="60">
        <v>0</v>
      </c>
      <c r="G17" s="61">
        <v>0</v>
      </c>
      <c r="H17" s="60">
        <v>0</v>
      </c>
      <c r="I17" s="61">
        <v>0</v>
      </c>
      <c r="J17" s="60">
        <v>0</v>
      </c>
      <c r="K17" s="61">
        <v>0</v>
      </c>
      <c r="L17" s="60">
        <v>0</v>
      </c>
      <c r="M17" s="61">
        <v>0</v>
      </c>
      <c r="N17" s="82">
        <v>0</v>
      </c>
      <c r="O17" s="82">
        <v>0</v>
      </c>
      <c r="P17" s="60">
        <f t="shared" si="1"/>
        <v>0</v>
      </c>
      <c r="Q17" s="61">
        <f t="shared" si="1"/>
        <v>4</v>
      </c>
      <c r="R17" s="62">
        <f>Q17+P17</f>
        <v>4</v>
      </c>
    </row>
    <row r="18" spans="1:18" ht="12.75" customHeight="1">
      <c r="A18" s="15" t="s">
        <v>48</v>
      </c>
      <c r="B18" s="60">
        <v>3</v>
      </c>
      <c r="C18" s="61">
        <v>0</v>
      </c>
      <c r="D18" s="60">
        <v>0</v>
      </c>
      <c r="E18" s="61">
        <v>0</v>
      </c>
      <c r="F18" s="60">
        <v>0</v>
      </c>
      <c r="G18" s="61">
        <v>0</v>
      </c>
      <c r="H18" s="60">
        <v>0</v>
      </c>
      <c r="I18" s="61">
        <v>0</v>
      </c>
      <c r="J18" s="60">
        <v>0</v>
      </c>
      <c r="K18" s="61">
        <v>0</v>
      </c>
      <c r="L18" s="60">
        <v>0</v>
      </c>
      <c r="M18" s="61">
        <v>0</v>
      </c>
      <c r="N18" s="82">
        <v>0</v>
      </c>
      <c r="O18" s="82">
        <v>0</v>
      </c>
      <c r="P18" s="60">
        <f t="shared" si="1"/>
        <v>3</v>
      </c>
      <c r="Q18" s="61">
        <f t="shared" si="1"/>
        <v>0</v>
      </c>
      <c r="R18" s="62">
        <f>Q18+P18</f>
        <v>3</v>
      </c>
    </row>
    <row r="19" spans="1:18" ht="12.75" customHeight="1">
      <c r="A19" s="15" t="s">
        <v>50</v>
      </c>
      <c r="B19" s="60">
        <v>1</v>
      </c>
      <c r="C19" s="61">
        <v>7</v>
      </c>
      <c r="D19" s="60">
        <v>0</v>
      </c>
      <c r="E19" s="61">
        <v>0</v>
      </c>
      <c r="F19" s="60">
        <v>0</v>
      </c>
      <c r="G19" s="61">
        <v>0</v>
      </c>
      <c r="H19" s="60">
        <v>0</v>
      </c>
      <c r="I19" s="61">
        <v>0</v>
      </c>
      <c r="J19" s="60">
        <v>0</v>
      </c>
      <c r="K19" s="61">
        <v>0</v>
      </c>
      <c r="L19" s="60">
        <v>0</v>
      </c>
      <c r="M19" s="61">
        <v>0</v>
      </c>
      <c r="N19" s="82">
        <v>0</v>
      </c>
      <c r="O19" s="82">
        <v>0</v>
      </c>
      <c r="P19" s="60">
        <f t="shared" si="1"/>
        <v>1</v>
      </c>
      <c r="Q19" s="61">
        <f t="shared" si="1"/>
        <v>7</v>
      </c>
      <c r="R19" s="62">
        <f>Q19+P19</f>
        <v>8</v>
      </c>
    </row>
    <row r="20" spans="1:18" ht="12.75" customHeight="1">
      <c r="A20" s="15" t="s">
        <v>57</v>
      </c>
      <c r="B20" s="60">
        <v>0</v>
      </c>
      <c r="C20" s="61">
        <v>4</v>
      </c>
      <c r="D20" s="60">
        <v>0</v>
      </c>
      <c r="E20" s="61">
        <v>0</v>
      </c>
      <c r="F20" s="60">
        <v>0</v>
      </c>
      <c r="G20" s="61">
        <v>0</v>
      </c>
      <c r="H20" s="60">
        <v>0</v>
      </c>
      <c r="I20" s="61">
        <v>0</v>
      </c>
      <c r="J20" s="60">
        <v>0</v>
      </c>
      <c r="K20" s="61">
        <v>0</v>
      </c>
      <c r="L20" s="60">
        <v>0</v>
      </c>
      <c r="M20" s="61">
        <v>0</v>
      </c>
      <c r="N20" s="82">
        <v>0</v>
      </c>
      <c r="O20" s="82">
        <v>0</v>
      </c>
      <c r="P20" s="60">
        <f t="shared" si="1"/>
        <v>0</v>
      </c>
      <c r="Q20" s="61">
        <f t="shared" si="1"/>
        <v>4</v>
      </c>
      <c r="R20" s="62">
        <f>Q20+P20</f>
        <v>4</v>
      </c>
    </row>
    <row r="21" spans="2:18" ht="10.5" customHeight="1">
      <c r="B21" s="9"/>
      <c r="C21" s="10"/>
      <c r="D21" s="9"/>
      <c r="E21" s="10"/>
      <c r="F21" s="9"/>
      <c r="G21" s="10"/>
      <c r="H21" s="9"/>
      <c r="I21" s="10"/>
      <c r="J21" s="9"/>
      <c r="K21" s="10"/>
      <c r="L21" s="9"/>
      <c r="M21" s="10"/>
      <c r="N21" s="20"/>
      <c r="O21" s="20"/>
      <c r="P21" s="9"/>
      <c r="Q21" s="10"/>
      <c r="R21" s="11"/>
    </row>
    <row r="22" ht="10.5" customHeight="1"/>
    <row r="23" ht="12.75" customHeight="1">
      <c r="A23" s="6" t="s">
        <v>13</v>
      </c>
    </row>
    <row r="24" spans="1:18" ht="12.75" customHeight="1">
      <c r="A24" s="6" t="s">
        <v>11</v>
      </c>
      <c r="B24" s="45" t="s">
        <v>1</v>
      </c>
      <c r="C24" s="46"/>
      <c r="D24" s="45" t="s">
        <v>2</v>
      </c>
      <c r="E24" s="46"/>
      <c r="F24" s="45" t="s">
        <v>3</v>
      </c>
      <c r="G24" s="46"/>
      <c r="H24" s="45" t="s">
        <v>4</v>
      </c>
      <c r="I24" s="46"/>
      <c r="J24" s="45" t="s">
        <v>5</v>
      </c>
      <c r="K24" s="46"/>
      <c r="L24" s="118" t="s">
        <v>6</v>
      </c>
      <c r="M24" s="119"/>
      <c r="N24" s="105" t="s">
        <v>45</v>
      </c>
      <c r="O24" s="105"/>
      <c r="P24" s="45" t="s">
        <v>7</v>
      </c>
      <c r="Q24" s="46"/>
      <c r="R24" s="41" t="s">
        <v>8</v>
      </c>
    </row>
    <row r="25" spans="1:18" ht="12.75" customHeight="1">
      <c r="A25" s="6" t="s">
        <v>12</v>
      </c>
      <c r="B25" s="42" t="s">
        <v>9</v>
      </c>
      <c r="C25" s="43" t="s">
        <v>10</v>
      </c>
      <c r="D25" s="42" t="s">
        <v>9</v>
      </c>
      <c r="E25" s="43" t="s">
        <v>10</v>
      </c>
      <c r="F25" s="42" t="s">
        <v>9</v>
      </c>
      <c r="G25" s="43" t="s">
        <v>10</v>
      </c>
      <c r="H25" s="42" t="s">
        <v>9</v>
      </c>
      <c r="I25" s="43" t="s">
        <v>10</v>
      </c>
      <c r="J25" s="42" t="s">
        <v>9</v>
      </c>
      <c r="K25" s="43" t="s">
        <v>10</v>
      </c>
      <c r="L25" s="42" t="s">
        <v>9</v>
      </c>
      <c r="M25" s="43" t="s">
        <v>10</v>
      </c>
      <c r="N25" s="42" t="s">
        <v>9</v>
      </c>
      <c r="O25" s="43" t="s">
        <v>10</v>
      </c>
      <c r="P25" s="42" t="s">
        <v>9</v>
      </c>
      <c r="Q25" s="43" t="s">
        <v>10</v>
      </c>
      <c r="R25" s="44" t="s">
        <v>7</v>
      </c>
    </row>
    <row r="26" spans="1:18" ht="10.5" customHeight="1">
      <c r="A26" s="6"/>
      <c r="B26" s="12"/>
      <c r="C26" s="13"/>
      <c r="D26" s="12"/>
      <c r="E26" s="13"/>
      <c r="F26" s="12"/>
      <c r="G26" s="13"/>
      <c r="H26" s="12"/>
      <c r="I26" s="13"/>
      <c r="J26" s="12"/>
      <c r="K26" s="13"/>
      <c r="L26" s="12"/>
      <c r="M26" s="13"/>
      <c r="N26" s="106"/>
      <c r="O26" s="106"/>
      <c r="P26" s="12"/>
      <c r="Q26" s="13"/>
      <c r="R26" s="14"/>
    </row>
    <row r="27" spans="1:18" s="16" customFormat="1" ht="12.75" customHeight="1">
      <c r="A27" s="15" t="s">
        <v>42</v>
      </c>
      <c r="B27" s="60">
        <v>26</v>
      </c>
      <c r="C27" s="61">
        <v>80</v>
      </c>
      <c r="D27" s="60">
        <v>2</v>
      </c>
      <c r="E27" s="61">
        <v>25</v>
      </c>
      <c r="F27" s="60">
        <v>0</v>
      </c>
      <c r="G27" s="61">
        <v>1</v>
      </c>
      <c r="H27" s="60">
        <v>0</v>
      </c>
      <c r="I27" s="61">
        <v>5</v>
      </c>
      <c r="J27" s="60">
        <v>1</v>
      </c>
      <c r="K27" s="61">
        <v>1</v>
      </c>
      <c r="L27" s="60">
        <v>0</v>
      </c>
      <c r="M27" s="61">
        <v>0</v>
      </c>
      <c r="N27" s="82">
        <v>0</v>
      </c>
      <c r="O27" s="82">
        <v>0</v>
      </c>
      <c r="P27" s="60">
        <f aca="true" t="shared" si="2" ref="P27:Q29">L27+J27+H27+F27+D27+B27</f>
        <v>29</v>
      </c>
      <c r="Q27" s="61">
        <f t="shared" si="2"/>
        <v>112</v>
      </c>
      <c r="R27" s="62">
        <f>Q27+P27</f>
        <v>141</v>
      </c>
    </row>
    <row r="28" spans="1:18" s="16" customFormat="1" ht="12.75" customHeight="1">
      <c r="A28" s="15" t="s">
        <v>44</v>
      </c>
      <c r="B28" s="60">
        <v>29</v>
      </c>
      <c r="C28" s="61">
        <v>86</v>
      </c>
      <c r="D28" s="60">
        <v>1</v>
      </c>
      <c r="E28" s="61">
        <v>32</v>
      </c>
      <c r="F28" s="60">
        <v>0</v>
      </c>
      <c r="G28" s="61">
        <v>2</v>
      </c>
      <c r="H28" s="60">
        <v>0</v>
      </c>
      <c r="I28" s="61">
        <v>7</v>
      </c>
      <c r="J28" s="60">
        <v>1</v>
      </c>
      <c r="K28" s="61">
        <v>0</v>
      </c>
      <c r="L28" s="60">
        <v>0</v>
      </c>
      <c r="M28" s="61">
        <v>0</v>
      </c>
      <c r="N28" s="82">
        <v>0</v>
      </c>
      <c r="O28" s="82">
        <v>0</v>
      </c>
      <c r="P28" s="60">
        <f t="shared" si="2"/>
        <v>31</v>
      </c>
      <c r="Q28" s="61">
        <f t="shared" si="2"/>
        <v>127</v>
      </c>
      <c r="R28" s="62">
        <f>Q28+P28</f>
        <v>158</v>
      </c>
    </row>
    <row r="29" spans="1:18" s="16" customFormat="1" ht="12.75" customHeight="1">
      <c r="A29" s="15" t="s">
        <v>48</v>
      </c>
      <c r="B29" s="60">
        <v>39</v>
      </c>
      <c r="C29" s="61">
        <v>101</v>
      </c>
      <c r="D29" s="60">
        <v>1</v>
      </c>
      <c r="E29" s="61">
        <v>36</v>
      </c>
      <c r="F29" s="60">
        <v>1</v>
      </c>
      <c r="G29" s="61">
        <v>1</v>
      </c>
      <c r="H29" s="60">
        <v>0</v>
      </c>
      <c r="I29" s="61">
        <v>3</v>
      </c>
      <c r="J29" s="60">
        <v>0</v>
      </c>
      <c r="K29" s="61">
        <v>3</v>
      </c>
      <c r="L29" s="60">
        <v>0</v>
      </c>
      <c r="M29" s="61">
        <v>2</v>
      </c>
      <c r="N29" s="82">
        <v>0</v>
      </c>
      <c r="O29" s="82">
        <v>0</v>
      </c>
      <c r="P29" s="60">
        <f t="shared" si="2"/>
        <v>41</v>
      </c>
      <c r="Q29" s="61">
        <f t="shared" si="2"/>
        <v>146</v>
      </c>
      <c r="R29" s="62">
        <f>Q29+P29</f>
        <v>187</v>
      </c>
    </row>
    <row r="30" spans="1:18" s="16" customFormat="1" ht="12.75" customHeight="1">
      <c r="A30" s="15" t="s">
        <v>50</v>
      </c>
      <c r="B30" s="60">
        <v>38</v>
      </c>
      <c r="C30" s="61">
        <v>96</v>
      </c>
      <c r="D30" s="60">
        <v>6</v>
      </c>
      <c r="E30" s="61">
        <v>32</v>
      </c>
      <c r="F30" s="60">
        <v>0</v>
      </c>
      <c r="G30" s="61">
        <v>1</v>
      </c>
      <c r="H30" s="60">
        <v>0</v>
      </c>
      <c r="I30" s="61">
        <v>3</v>
      </c>
      <c r="J30" s="60">
        <v>0</v>
      </c>
      <c r="K30" s="61">
        <v>3</v>
      </c>
      <c r="L30" s="60">
        <v>1</v>
      </c>
      <c r="M30" s="61">
        <v>0</v>
      </c>
      <c r="N30" s="82">
        <v>2</v>
      </c>
      <c r="O30" s="82">
        <v>4</v>
      </c>
      <c r="P30" s="60">
        <f>L30+J30+H30+F30+D30+B30+N30</f>
        <v>47</v>
      </c>
      <c r="Q30" s="61">
        <f>M30+K30+I30+G30+E30+C30+O30</f>
        <v>139</v>
      </c>
      <c r="R30" s="62">
        <f>Q30+P30</f>
        <v>186</v>
      </c>
    </row>
    <row r="31" spans="1:18" s="16" customFormat="1" ht="12.75" customHeight="1">
      <c r="A31" s="15" t="s">
        <v>57</v>
      </c>
      <c r="B31" s="60">
        <v>30</v>
      </c>
      <c r="C31" s="61">
        <v>94</v>
      </c>
      <c r="D31" s="60">
        <v>10</v>
      </c>
      <c r="E31" s="61">
        <v>29</v>
      </c>
      <c r="F31" s="60">
        <v>1</v>
      </c>
      <c r="G31" s="61">
        <v>3</v>
      </c>
      <c r="H31" s="60">
        <v>1</v>
      </c>
      <c r="I31" s="61">
        <v>5</v>
      </c>
      <c r="J31" s="60">
        <v>1</v>
      </c>
      <c r="K31" s="61">
        <v>4</v>
      </c>
      <c r="L31" s="60">
        <v>0</v>
      </c>
      <c r="M31" s="61">
        <v>0</v>
      </c>
      <c r="N31" s="82">
        <v>2</v>
      </c>
      <c r="O31" s="82">
        <v>5</v>
      </c>
      <c r="P31" s="60">
        <f>L31+J31+H31+F31+D31+B31+N31</f>
        <v>45</v>
      </c>
      <c r="Q31" s="61">
        <f>M31+K31+I31+G31+E31+C31+O31</f>
        <v>140</v>
      </c>
      <c r="R31" s="62">
        <f>Q31+P31</f>
        <v>185</v>
      </c>
    </row>
    <row r="32" spans="2:18" ht="10.5" customHeight="1">
      <c r="B32" s="9"/>
      <c r="C32" s="10"/>
      <c r="D32" s="9"/>
      <c r="E32" s="10"/>
      <c r="F32" s="9"/>
      <c r="G32" s="10"/>
      <c r="H32" s="9"/>
      <c r="I32" s="10"/>
      <c r="J32" s="9"/>
      <c r="K32" s="10"/>
      <c r="L32" s="9"/>
      <c r="M32" s="10"/>
      <c r="N32" s="20"/>
      <c r="O32" s="20"/>
      <c r="P32" s="9"/>
      <c r="Q32" s="10"/>
      <c r="R32" s="11"/>
    </row>
    <row r="33" ht="10.5" customHeight="1"/>
    <row r="34" ht="12.75" customHeight="1">
      <c r="A34" s="6" t="s">
        <v>17</v>
      </c>
    </row>
    <row r="35" spans="1:18" ht="12.75" customHeight="1">
      <c r="A35" s="6" t="s">
        <v>11</v>
      </c>
      <c r="B35" s="45" t="s">
        <v>1</v>
      </c>
      <c r="C35" s="46"/>
      <c r="D35" s="45" t="s">
        <v>2</v>
      </c>
      <c r="E35" s="46"/>
      <c r="F35" s="45" t="s">
        <v>3</v>
      </c>
      <c r="G35" s="46"/>
      <c r="H35" s="45" t="s">
        <v>4</v>
      </c>
      <c r="I35" s="46"/>
      <c r="J35" s="45" t="s">
        <v>5</v>
      </c>
      <c r="K35" s="46"/>
      <c r="L35" s="118" t="s">
        <v>6</v>
      </c>
      <c r="M35" s="119"/>
      <c r="N35" s="105" t="s">
        <v>45</v>
      </c>
      <c r="O35" s="105"/>
      <c r="P35" s="45" t="s">
        <v>7</v>
      </c>
      <c r="Q35" s="46"/>
      <c r="R35" s="41" t="s">
        <v>8</v>
      </c>
    </row>
    <row r="36" spans="1:18" ht="12.75" customHeight="1">
      <c r="A36" s="6" t="s">
        <v>12</v>
      </c>
      <c r="B36" s="42" t="s">
        <v>9</v>
      </c>
      <c r="C36" s="43" t="s">
        <v>10</v>
      </c>
      <c r="D36" s="42" t="s">
        <v>9</v>
      </c>
      <c r="E36" s="43" t="s">
        <v>10</v>
      </c>
      <c r="F36" s="42" t="s">
        <v>9</v>
      </c>
      <c r="G36" s="43" t="s">
        <v>10</v>
      </c>
      <c r="H36" s="42" t="s">
        <v>9</v>
      </c>
      <c r="I36" s="43" t="s">
        <v>10</v>
      </c>
      <c r="J36" s="42" t="s">
        <v>9</v>
      </c>
      <c r="K36" s="43" t="s">
        <v>10</v>
      </c>
      <c r="L36" s="42" t="s">
        <v>9</v>
      </c>
      <c r="M36" s="43" t="s">
        <v>10</v>
      </c>
      <c r="N36" s="42" t="s">
        <v>9</v>
      </c>
      <c r="O36" s="43" t="s">
        <v>10</v>
      </c>
      <c r="P36" s="42" t="s">
        <v>9</v>
      </c>
      <c r="Q36" s="43" t="s">
        <v>10</v>
      </c>
      <c r="R36" s="44" t="s">
        <v>7</v>
      </c>
    </row>
    <row r="37" spans="1:18" ht="10.5" customHeight="1">
      <c r="A37" s="6"/>
      <c r="B37" s="12"/>
      <c r="C37" s="13"/>
      <c r="D37" s="12"/>
      <c r="E37" s="13"/>
      <c r="F37" s="12"/>
      <c r="G37" s="13"/>
      <c r="H37" s="12"/>
      <c r="I37" s="13"/>
      <c r="J37" s="12"/>
      <c r="K37" s="13"/>
      <c r="L37" s="12"/>
      <c r="M37" s="13"/>
      <c r="N37" s="106"/>
      <c r="O37" s="106"/>
      <c r="P37" s="12"/>
      <c r="Q37" s="13"/>
      <c r="R37" s="14"/>
    </row>
    <row r="38" spans="1:18" s="16" customFormat="1" ht="12.75" customHeight="1">
      <c r="A38" s="15" t="s">
        <v>42</v>
      </c>
      <c r="B38" s="60">
        <v>2</v>
      </c>
      <c r="C38" s="61">
        <v>7</v>
      </c>
      <c r="D38" s="60">
        <v>0</v>
      </c>
      <c r="E38" s="61">
        <v>0</v>
      </c>
      <c r="F38" s="60">
        <v>0</v>
      </c>
      <c r="G38" s="61">
        <v>0</v>
      </c>
      <c r="H38" s="60">
        <v>0</v>
      </c>
      <c r="I38" s="61">
        <v>0</v>
      </c>
      <c r="J38" s="60">
        <v>0</v>
      </c>
      <c r="K38" s="61">
        <v>0</v>
      </c>
      <c r="L38" s="60">
        <v>0</v>
      </c>
      <c r="M38" s="61">
        <v>0</v>
      </c>
      <c r="N38" s="82">
        <v>0</v>
      </c>
      <c r="O38" s="82">
        <v>0</v>
      </c>
      <c r="P38" s="60">
        <f aca="true" t="shared" si="3" ref="P38:Q42">L38+J38+H38+F38+D38+B38</f>
        <v>2</v>
      </c>
      <c r="Q38" s="61">
        <f t="shared" si="3"/>
        <v>7</v>
      </c>
      <c r="R38" s="62">
        <f>Q38+P38</f>
        <v>9</v>
      </c>
    </row>
    <row r="39" spans="1:18" s="16" customFormat="1" ht="12.75" customHeight="1">
      <c r="A39" s="15" t="s">
        <v>44</v>
      </c>
      <c r="B39" s="60">
        <v>3</v>
      </c>
      <c r="C39" s="61">
        <v>7</v>
      </c>
      <c r="D39" s="60">
        <v>0</v>
      </c>
      <c r="E39" s="61">
        <v>0</v>
      </c>
      <c r="F39" s="60">
        <v>0</v>
      </c>
      <c r="G39" s="61">
        <v>0</v>
      </c>
      <c r="H39" s="60">
        <v>0</v>
      </c>
      <c r="I39" s="61">
        <v>0</v>
      </c>
      <c r="J39" s="60">
        <v>0</v>
      </c>
      <c r="K39" s="61">
        <v>0</v>
      </c>
      <c r="L39" s="60">
        <v>0</v>
      </c>
      <c r="M39" s="61">
        <v>0</v>
      </c>
      <c r="N39" s="82">
        <v>0</v>
      </c>
      <c r="O39" s="82">
        <v>0</v>
      </c>
      <c r="P39" s="60">
        <f t="shared" si="3"/>
        <v>3</v>
      </c>
      <c r="Q39" s="61">
        <f t="shared" si="3"/>
        <v>7</v>
      </c>
      <c r="R39" s="62">
        <f>Q39+P39</f>
        <v>10</v>
      </c>
    </row>
    <row r="40" spans="1:18" s="16" customFormat="1" ht="12.75" customHeight="1">
      <c r="A40" s="15" t="s">
        <v>48</v>
      </c>
      <c r="B40" s="60">
        <v>1</v>
      </c>
      <c r="C40" s="61">
        <v>12</v>
      </c>
      <c r="D40" s="60">
        <v>0</v>
      </c>
      <c r="E40" s="61">
        <v>0</v>
      </c>
      <c r="F40" s="60">
        <v>0</v>
      </c>
      <c r="G40" s="61">
        <v>0</v>
      </c>
      <c r="H40" s="60">
        <v>0</v>
      </c>
      <c r="I40" s="61">
        <v>0</v>
      </c>
      <c r="J40" s="60">
        <v>0</v>
      </c>
      <c r="K40" s="61">
        <v>0</v>
      </c>
      <c r="L40" s="60">
        <v>0</v>
      </c>
      <c r="M40" s="61">
        <v>0</v>
      </c>
      <c r="N40" s="82">
        <v>0</v>
      </c>
      <c r="O40" s="82">
        <v>0</v>
      </c>
      <c r="P40" s="60">
        <f t="shared" si="3"/>
        <v>1</v>
      </c>
      <c r="Q40" s="61">
        <f t="shared" si="3"/>
        <v>12</v>
      </c>
      <c r="R40" s="62">
        <f>Q40+P40</f>
        <v>13</v>
      </c>
    </row>
    <row r="41" spans="1:18" s="16" customFormat="1" ht="12.75" customHeight="1">
      <c r="A41" s="15" t="s">
        <v>50</v>
      </c>
      <c r="B41" s="60">
        <v>3</v>
      </c>
      <c r="C41" s="61">
        <v>12</v>
      </c>
      <c r="D41" s="60">
        <v>1</v>
      </c>
      <c r="E41" s="61">
        <v>0</v>
      </c>
      <c r="F41" s="60">
        <v>0</v>
      </c>
      <c r="G41" s="61">
        <v>0</v>
      </c>
      <c r="H41" s="60">
        <v>0</v>
      </c>
      <c r="I41" s="61">
        <v>0</v>
      </c>
      <c r="J41" s="60">
        <v>0</v>
      </c>
      <c r="K41" s="61">
        <v>0</v>
      </c>
      <c r="L41" s="60">
        <v>0</v>
      </c>
      <c r="M41" s="61">
        <v>0</v>
      </c>
      <c r="N41" s="82">
        <v>0</v>
      </c>
      <c r="O41" s="82">
        <v>0</v>
      </c>
      <c r="P41" s="60">
        <f t="shared" si="3"/>
        <v>4</v>
      </c>
      <c r="Q41" s="61">
        <f t="shared" si="3"/>
        <v>12</v>
      </c>
      <c r="R41" s="62">
        <f>Q41+P41</f>
        <v>16</v>
      </c>
    </row>
    <row r="42" spans="1:18" s="16" customFormat="1" ht="12.75" customHeight="1">
      <c r="A42" s="15" t="s">
        <v>57</v>
      </c>
      <c r="B42" s="60">
        <v>2</v>
      </c>
      <c r="C42" s="61">
        <v>7</v>
      </c>
      <c r="D42" s="60">
        <v>0</v>
      </c>
      <c r="E42" s="61">
        <v>0</v>
      </c>
      <c r="F42" s="60">
        <v>0</v>
      </c>
      <c r="G42" s="61">
        <v>1</v>
      </c>
      <c r="H42" s="60">
        <v>0</v>
      </c>
      <c r="I42" s="61">
        <v>0</v>
      </c>
      <c r="J42" s="60">
        <v>0</v>
      </c>
      <c r="K42" s="61">
        <v>0</v>
      </c>
      <c r="L42" s="60">
        <v>0</v>
      </c>
      <c r="M42" s="61">
        <v>0</v>
      </c>
      <c r="N42" s="82">
        <v>0</v>
      </c>
      <c r="O42" s="82">
        <v>0</v>
      </c>
      <c r="P42" s="60">
        <f t="shared" si="3"/>
        <v>2</v>
      </c>
      <c r="Q42" s="61">
        <f t="shared" si="3"/>
        <v>8</v>
      </c>
      <c r="R42" s="62">
        <f>Q42+P42</f>
        <v>10</v>
      </c>
    </row>
    <row r="43" spans="2:18" ht="10.5" customHeight="1">
      <c r="B43" s="9"/>
      <c r="C43" s="10"/>
      <c r="D43" s="9"/>
      <c r="E43" s="10"/>
      <c r="F43" s="9"/>
      <c r="G43" s="10"/>
      <c r="H43" s="9"/>
      <c r="I43" s="10"/>
      <c r="J43" s="9"/>
      <c r="K43" s="10"/>
      <c r="L43" s="9"/>
      <c r="M43" s="10"/>
      <c r="N43" s="20"/>
      <c r="O43" s="20"/>
      <c r="P43" s="9"/>
      <c r="Q43" s="10"/>
      <c r="R43" s="11"/>
    </row>
    <row r="45" spans="1:2" ht="12.75" customHeight="1">
      <c r="A45" s="35"/>
      <c r="B45" s="35"/>
    </row>
    <row r="46" ht="12.75" customHeight="1">
      <c r="A46" s="35"/>
    </row>
    <row r="47" spans="1:15" ht="12.75" customHeight="1">
      <c r="A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</row>
    <row r="64" spans="1:18" s="16" customFormat="1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76" spans="1:18" s="16" customFormat="1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87" spans="1:18" s="16" customFormat="1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100" spans="1:18" s="16" customFormat="1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32" spans="1:18" s="16" customFormat="1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42" spans="1:18" s="16" customFormat="1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</sheetData>
  <mergeCells count="4">
    <mergeCell ref="L13:M13"/>
    <mergeCell ref="L3:M3"/>
    <mergeCell ref="L35:M35"/>
    <mergeCell ref="L24:M24"/>
  </mergeCells>
  <printOptions horizontalCentered="1"/>
  <pageMargins left="0.25" right="0.25" top="1" bottom="0.75" header="0.5" footer="0.25"/>
  <pageSetup fitToHeight="1" fitToWidth="1" horizontalDpi="300" verticalDpi="300" orientation="landscape" scale="91" r:id="rId1"/>
  <headerFooter alignWithMargins="0">
    <oddHeader>&amp;CThe University of Alabama in Huntsville
Unit Academic Reports 
</oddHeader>
    <oddFooter xml:space="preserve">&amp;L&amp;8Office of Institutional Research
&amp;D (ly)
&amp;F 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9">
    <pageSetUpPr fitToPage="1"/>
  </sheetPr>
  <dimension ref="A1:M116"/>
  <sheetViews>
    <sheetView workbookViewId="0" topLeftCell="A1">
      <selection activeCell="D20" sqref="D20"/>
    </sheetView>
  </sheetViews>
  <sheetFormatPr defaultColWidth="9.140625" defaultRowHeight="12.75" customHeight="1"/>
  <cols>
    <col min="1" max="1" width="22.7109375" style="35" customWidth="1"/>
    <col min="2" max="8" width="13.7109375" style="2" customWidth="1"/>
    <col min="9" max="16384" width="9.140625" style="2" customWidth="1"/>
  </cols>
  <sheetData>
    <row r="1" spans="1:8" ht="12.75" customHeight="1">
      <c r="A1" s="1" t="s">
        <v>33</v>
      </c>
      <c r="B1" s="16"/>
      <c r="C1" s="16"/>
      <c r="D1" s="16"/>
      <c r="E1" s="16"/>
      <c r="F1"/>
      <c r="G1"/>
      <c r="H1"/>
    </row>
    <row r="2" spans="1:8" ht="12.75" customHeight="1">
      <c r="A2" s="1"/>
      <c r="B2" s="16"/>
      <c r="C2" s="16"/>
      <c r="D2" s="16"/>
      <c r="E2" s="16"/>
      <c r="F2"/>
      <c r="G2"/>
      <c r="H2"/>
    </row>
    <row r="3" spans="1:8" ht="12.75" customHeight="1">
      <c r="A3" s="6" t="s">
        <v>13</v>
      </c>
      <c r="F3"/>
      <c r="G3"/>
      <c r="H3"/>
    </row>
    <row r="4" spans="1:4" s="38" customFormat="1" ht="12.75" customHeight="1">
      <c r="A4" s="39" t="s">
        <v>11</v>
      </c>
      <c r="B4" s="47" t="s">
        <v>16</v>
      </c>
      <c r="C4" s="47" t="s">
        <v>14</v>
      </c>
      <c r="D4" s="47" t="s">
        <v>15</v>
      </c>
    </row>
    <row r="5" spans="2:7" ht="12.75" customHeight="1">
      <c r="B5" s="8"/>
      <c r="C5" s="8"/>
      <c r="D5" s="8"/>
      <c r="E5"/>
      <c r="F5"/>
      <c r="G5"/>
    </row>
    <row r="6" spans="1:7" s="16" customFormat="1" ht="12.75" customHeight="1">
      <c r="A6" s="6" t="s">
        <v>42</v>
      </c>
      <c r="B6" s="14">
        <v>62</v>
      </c>
      <c r="C6" s="14">
        <f>PY!R27</f>
        <v>141</v>
      </c>
      <c r="D6" s="14">
        <v>131</v>
      </c>
      <c r="E6" s="26"/>
      <c r="F6" s="26"/>
      <c r="G6" s="26"/>
    </row>
    <row r="7" spans="1:7" s="16" customFormat="1" ht="12.75" customHeight="1">
      <c r="A7" s="6" t="s">
        <v>44</v>
      </c>
      <c r="B7" s="14">
        <v>66</v>
      </c>
      <c r="C7" s="14">
        <f>PY!R28</f>
        <v>158</v>
      </c>
      <c r="D7" s="14">
        <v>162</v>
      </c>
      <c r="E7" s="26"/>
      <c r="F7" s="26"/>
      <c r="G7" s="26"/>
    </row>
    <row r="8" spans="1:7" s="16" customFormat="1" ht="12.75" customHeight="1">
      <c r="A8" s="6" t="s">
        <v>48</v>
      </c>
      <c r="B8" s="14">
        <v>72</v>
      </c>
      <c r="C8" s="14">
        <f>PY!R29</f>
        <v>187</v>
      </c>
      <c r="D8" s="14">
        <v>168</v>
      </c>
      <c r="E8" s="26"/>
      <c r="F8" s="26"/>
      <c r="G8" s="26"/>
    </row>
    <row r="9" spans="1:7" s="16" customFormat="1" ht="12.75" customHeight="1">
      <c r="A9" s="15" t="s">
        <v>50</v>
      </c>
      <c r="B9" s="14">
        <v>68</v>
      </c>
      <c r="C9" s="14">
        <f>PY!R30</f>
        <v>186</v>
      </c>
      <c r="D9" s="14">
        <v>167</v>
      </c>
      <c r="E9" s="26"/>
      <c r="F9" s="26"/>
      <c r="G9" s="26"/>
    </row>
    <row r="10" spans="1:7" s="16" customFormat="1" ht="12.75" customHeight="1">
      <c r="A10" s="15" t="s">
        <v>57</v>
      </c>
      <c r="B10" s="14">
        <v>67</v>
      </c>
      <c r="C10" s="14">
        <f>PY!R31</f>
        <v>185</v>
      </c>
      <c r="D10" s="14">
        <v>168</v>
      </c>
      <c r="E10" s="26"/>
      <c r="F10" s="26"/>
      <c r="G10" s="26"/>
    </row>
    <row r="11" spans="1:7" ht="12.75" customHeight="1">
      <c r="A11" s="6"/>
      <c r="B11" s="7"/>
      <c r="C11" s="7"/>
      <c r="D11" s="7"/>
      <c r="E11"/>
      <c r="F11"/>
      <c r="G11"/>
    </row>
    <row r="12" spans="1:7" ht="12.75" customHeight="1">
      <c r="A12" s="36"/>
      <c r="E12"/>
      <c r="F12"/>
      <c r="G12"/>
    </row>
    <row r="13" spans="1:7" ht="12.75" customHeight="1">
      <c r="A13" s="6" t="s">
        <v>17</v>
      </c>
      <c r="E13"/>
      <c r="F13"/>
      <c r="G13"/>
    </row>
    <row r="14" spans="1:4" s="38" customFormat="1" ht="12.75" customHeight="1">
      <c r="A14" s="39" t="s">
        <v>11</v>
      </c>
      <c r="B14" s="47" t="s">
        <v>16</v>
      </c>
      <c r="C14" s="47" t="s">
        <v>14</v>
      </c>
      <c r="D14" s="47" t="s">
        <v>15</v>
      </c>
    </row>
    <row r="15" spans="2:7" ht="12.75" customHeight="1">
      <c r="B15" s="8"/>
      <c r="C15" s="8"/>
      <c r="D15" s="8"/>
      <c r="E15"/>
      <c r="F15"/>
      <c r="G15"/>
    </row>
    <row r="16" spans="1:4" s="16" customFormat="1" ht="12.75" customHeight="1">
      <c r="A16" s="6" t="s">
        <v>42</v>
      </c>
      <c r="B16" s="14">
        <v>4</v>
      </c>
      <c r="C16" s="14">
        <f>PY!R38</f>
        <v>9</v>
      </c>
      <c r="D16" s="14">
        <v>11</v>
      </c>
    </row>
    <row r="17" spans="1:4" s="16" customFormat="1" ht="12.75" customHeight="1">
      <c r="A17" s="6" t="s">
        <v>44</v>
      </c>
      <c r="B17" s="14">
        <v>5</v>
      </c>
      <c r="C17" s="14">
        <f>PY!R39</f>
        <v>10</v>
      </c>
      <c r="D17" s="14">
        <v>10</v>
      </c>
    </row>
    <row r="18" spans="1:4" s="16" customFormat="1" ht="12.75" customHeight="1">
      <c r="A18" s="6" t="s">
        <v>48</v>
      </c>
      <c r="B18" s="14">
        <v>8</v>
      </c>
      <c r="C18" s="14">
        <f>PY!R40</f>
        <v>13</v>
      </c>
      <c r="D18" s="14">
        <v>12</v>
      </c>
    </row>
    <row r="19" spans="1:4" s="16" customFormat="1" ht="12.75" customHeight="1">
      <c r="A19" s="15" t="s">
        <v>50</v>
      </c>
      <c r="B19" s="14">
        <v>8</v>
      </c>
      <c r="C19" s="14">
        <f>PY!R41</f>
        <v>16</v>
      </c>
      <c r="D19" s="14">
        <v>14</v>
      </c>
    </row>
    <row r="20" spans="1:4" s="16" customFormat="1" ht="12.75" customHeight="1">
      <c r="A20" s="15" t="s">
        <v>57</v>
      </c>
      <c r="B20" s="14">
        <v>7</v>
      </c>
      <c r="C20" s="14">
        <f>PY!R42</f>
        <v>10</v>
      </c>
      <c r="D20" s="14">
        <v>12</v>
      </c>
    </row>
    <row r="21" spans="1:7" ht="12.75" customHeight="1">
      <c r="A21" s="6"/>
      <c r="B21" s="7"/>
      <c r="C21" s="7"/>
      <c r="D21" s="7"/>
      <c r="E21"/>
      <c r="F21"/>
      <c r="G21"/>
    </row>
    <row r="22" spans="6:8" ht="12.75" customHeight="1">
      <c r="F22"/>
      <c r="G22"/>
      <c r="H22"/>
    </row>
    <row r="23" spans="1:8" s="38" customFormat="1" ht="12.75" customHeight="1">
      <c r="A23" s="39" t="s">
        <v>56</v>
      </c>
      <c r="B23" s="48" t="s">
        <v>13</v>
      </c>
      <c r="C23" s="48" t="s">
        <v>13</v>
      </c>
      <c r="D23" s="48" t="s">
        <v>7</v>
      </c>
      <c r="E23" s="48" t="s">
        <v>17</v>
      </c>
      <c r="F23" s="48" t="s">
        <v>17</v>
      </c>
      <c r="G23" s="49" t="s">
        <v>7</v>
      </c>
      <c r="H23" s="49" t="s">
        <v>8</v>
      </c>
    </row>
    <row r="24" spans="1:8" s="38" customFormat="1" ht="12.75" customHeight="1">
      <c r="A24" s="39"/>
      <c r="B24" s="50" t="s">
        <v>18</v>
      </c>
      <c r="C24" s="50" t="s">
        <v>19</v>
      </c>
      <c r="D24" s="50" t="s">
        <v>13</v>
      </c>
      <c r="E24" s="50" t="s">
        <v>20</v>
      </c>
      <c r="F24" s="50" t="s">
        <v>21</v>
      </c>
      <c r="G24" s="51" t="s">
        <v>17</v>
      </c>
      <c r="H24" s="51" t="s">
        <v>7</v>
      </c>
    </row>
    <row r="25" spans="2:8" ht="12.75" customHeight="1">
      <c r="B25" s="3"/>
      <c r="C25" s="3"/>
      <c r="D25" s="3"/>
      <c r="E25" s="3"/>
      <c r="F25" s="3"/>
      <c r="G25" s="3"/>
      <c r="H25" s="8"/>
    </row>
    <row r="26" spans="1:8" ht="12.75" customHeight="1">
      <c r="A26" s="6" t="s">
        <v>42</v>
      </c>
      <c r="B26" s="74">
        <v>2199</v>
      </c>
      <c r="C26" s="74">
        <v>1114</v>
      </c>
      <c r="D26" s="74">
        <f>C26+B26</f>
        <v>3313</v>
      </c>
      <c r="E26" s="74">
        <v>231</v>
      </c>
      <c r="F26" s="74">
        <v>0</v>
      </c>
      <c r="G26" s="74">
        <f>F26+E26</f>
        <v>231</v>
      </c>
      <c r="H26" s="75">
        <f>G26+D26</f>
        <v>3544</v>
      </c>
    </row>
    <row r="27" spans="1:8" ht="12.75" customHeight="1">
      <c r="A27" s="6" t="s">
        <v>44</v>
      </c>
      <c r="B27" s="74">
        <v>2628</v>
      </c>
      <c r="C27" s="74">
        <v>1538</v>
      </c>
      <c r="D27" s="74">
        <f>C27+B27</f>
        <v>4166</v>
      </c>
      <c r="E27" s="74">
        <v>234</v>
      </c>
      <c r="F27" s="74">
        <v>0</v>
      </c>
      <c r="G27" s="74">
        <f>F27+E27</f>
        <v>234</v>
      </c>
      <c r="H27" s="75">
        <f>G27+D27</f>
        <v>4400</v>
      </c>
    </row>
    <row r="28" spans="1:8" ht="12.75" customHeight="1">
      <c r="A28" s="6" t="s">
        <v>48</v>
      </c>
      <c r="B28" s="74">
        <v>2847</v>
      </c>
      <c r="C28" s="74">
        <v>1618</v>
      </c>
      <c r="D28" s="74">
        <f>C28+B28</f>
        <v>4465</v>
      </c>
      <c r="E28" s="74">
        <v>268</v>
      </c>
      <c r="F28" s="74">
        <v>0</v>
      </c>
      <c r="G28" s="74">
        <f>F28+E28</f>
        <v>268</v>
      </c>
      <c r="H28" s="75">
        <f>G28+D28</f>
        <v>4733</v>
      </c>
    </row>
    <row r="29" spans="1:8" ht="12.75" customHeight="1">
      <c r="A29" s="15" t="s">
        <v>50</v>
      </c>
      <c r="B29" s="74">
        <f>435+1143+1335</f>
        <v>2913</v>
      </c>
      <c r="C29" s="74">
        <f>233+868+744</f>
        <v>1845</v>
      </c>
      <c r="D29" s="74">
        <f>C29+B29</f>
        <v>4758</v>
      </c>
      <c r="E29" s="74">
        <f>35+118+123</f>
        <v>276</v>
      </c>
      <c r="F29" s="74">
        <v>0</v>
      </c>
      <c r="G29" s="74">
        <f>F29+E29</f>
        <v>276</v>
      </c>
      <c r="H29" s="75">
        <f>G29+D29</f>
        <v>5034</v>
      </c>
    </row>
    <row r="30" spans="1:8" ht="12.75" customHeight="1">
      <c r="A30" s="15" t="s">
        <v>57</v>
      </c>
      <c r="B30" s="74">
        <f>333+1185+1353</f>
        <v>2871</v>
      </c>
      <c r="C30" s="74">
        <f>206+718+710</f>
        <v>1634</v>
      </c>
      <c r="D30" s="74">
        <f>C30+B30</f>
        <v>4505</v>
      </c>
      <c r="E30" s="74">
        <f>21+79+104</f>
        <v>204</v>
      </c>
      <c r="F30" s="74">
        <v>0</v>
      </c>
      <c r="G30" s="74">
        <f>F30+E30</f>
        <v>204</v>
      </c>
      <c r="H30" s="75">
        <f>G30+D30</f>
        <v>4709</v>
      </c>
    </row>
    <row r="31" spans="1:8" ht="12.75" customHeight="1">
      <c r="A31" s="36"/>
      <c r="B31" s="9"/>
      <c r="C31" s="9"/>
      <c r="D31" s="9"/>
      <c r="E31" s="9"/>
      <c r="F31" s="9"/>
      <c r="G31" s="9"/>
      <c r="H31" s="11"/>
    </row>
    <row r="32" spans="1:5" ht="12.75" customHeight="1">
      <c r="A32" s="36"/>
      <c r="B32"/>
      <c r="C32"/>
      <c r="D32"/>
      <c r="E32"/>
    </row>
    <row r="33" spans="1:8" s="38" customFormat="1" ht="12.75" customHeight="1">
      <c r="A33" s="39" t="s">
        <v>55</v>
      </c>
      <c r="B33" s="48" t="s">
        <v>13</v>
      </c>
      <c r="C33" s="48" t="s">
        <v>13</v>
      </c>
      <c r="D33" s="48" t="s">
        <v>7</v>
      </c>
      <c r="E33" s="48" t="s">
        <v>17</v>
      </c>
      <c r="F33" s="48" t="s">
        <v>22</v>
      </c>
      <c r="G33" s="48" t="s">
        <v>23</v>
      </c>
      <c r="H33" s="49" t="s">
        <v>8</v>
      </c>
    </row>
    <row r="34" spans="2:8" s="38" customFormat="1" ht="12.75" customHeight="1">
      <c r="B34" s="50" t="s">
        <v>18</v>
      </c>
      <c r="C34" s="50" t="s">
        <v>19</v>
      </c>
      <c r="D34" s="50" t="s">
        <v>13</v>
      </c>
      <c r="E34" s="50" t="s">
        <v>20</v>
      </c>
      <c r="F34" s="50" t="s">
        <v>21</v>
      </c>
      <c r="G34" s="50" t="s">
        <v>17</v>
      </c>
      <c r="H34" s="51" t="s">
        <v>7</v>
      </c>
    </row>
    <row r="35" spans="2:8" ht="12.75" customHeight="1">
      <c r="B35" s="12"/>
      <c r="C35" s="12"/>
      <c r="D35" s="12"/>
      <c r="E35" s="12"/>
      <c r="F35" s="12"/>
      <c r="G35" s="12"/>
      <c r="H35" s="14"/>
    </row>
    <row r="36" spans="1:8" ht="12.75" customHeight="1">
      <c r="A36" s="6" t="s">
        <v>42</v>
      </c>
      <c r="B36" s="24">
        <f>B26*0.85</f>
        <v>1869.1499999999999</v>
      </c>
      <c r="C36" s="24">
        <f>C26*1.15</f>
        <v>1281.1</v>
      </c>
      <c r="D36" s="24">
        <f>C36+B36</f>
        <v>3150.25</v>
      </c>
      <c r="E36" s="24">
        <f>E26*2.73</f>
        <v>630.63</v>
      </c>
      <c r="F36" s="24">
        <v>0</v>
      </c>
      <c r="G36" s="24">
        <f>F36+E36</f>
        <v>630.63</v>
      </c>
      <c r="H36" s="25">
        <f>G36+D36</f>
        <v>3780.88</v>
      </c>
    </row>
    <row r="37" spans="1:8" ht="12.75" customHeight="1">
      <c r="A37" s="6" t="s">
        <v>44</v>
      </c>
      <c r="B37" s="24">
        <f>B27*0.85</f>
        <v>2233.7999999999997</v>
      </c>
      <c r="C37" s="24">
        <f>C27*1.15</f>
        <v>1768.6999999999998</v>
      </c>
      <c r="D37" s="24">
        <f>C37+B37</f>
        <v>4002.4999999999995</v>
      </c>
      <c r="E37" s="24">
        <f>E27*2.73</f>
        <v>638.82</v>
      </c>
      <c r="F37" s="24">
        <v>0</v>
      </c>
      <c r="G37" s="24">
        <f>F37+E37</f>
        <v>638.82</v>
      </c>
      <c r="H37" s="25">
        <f>G37+D37</f>
        <v>4641.32</v>
      </c>
    </row>
    <row r="38" spans="1:8" ht="12.75" customHeight="1">
      <c r="A38" s="6" t="s">
        <v>48</v>
      </c>
      <c r="B38" s="24">
        <f>B28*0.85</f>
        <v>2419.95</v>
      </c>
      <c r="C38" s="24">
        <f>C28*1.15</f>
        <v>1860.6999999999998</v>
      </c>
      <c r="D38" s="24">
        <f>C38+B38</f>
        <v>4280.65</v>
      </c>
      <c r="E38" s="24">
        <f>E28*2.73</f>
        <v>731.64</v>
      </c>
      <c r="F38" s="24">
        <v>0</v>
      </c>
      <c r="G38" s="24">
        <f>F38+E38</f>
        <v>731.64</v>
      </c>
      <c r="H38" s="25">
        <f>G38+D38</f>
        <v>5012.29</v>
      </c>
    </row>
    <row r="39" spans="1:8" ht="12.75" customHeight="1">
      <c r="A39" s="15" t="s">
        <v>50</v>
      </c>
      <c r="B39" s="24">
        <f>B29*0.85</f>
        <v>2476.0499999999997</v>
      </c>
      <c r="C39" s="24">
        <f>C29*1.15</f>
        <v>2121.75</v>
      </c>
      <c r="D39" s="24">
        <f>C39+B39</f>
        <v>4597.799999999999</v>
      </c>
      <c r="E39" s="24">
        <f>E29*2.73</f>
        <v>753.48</v>
      </c>
      <c r="F39" s="24">
        <v>0</v>
      </c>
      <c r="G39" s="24">
        <f>F39+E39</f>
        <v>753.48</v>
      </c>
      <c r="H39" s="25">
        <f>G39+D39</f>
        <v>5351.279999999999</v>
      </c>
    </row>
    <row r="40" spans="1:8" ht="12.75" customHeight="1">
      <c r="A40" s="15" t="s">
        <v>57</v>
      </c>
      <c r="B40" s="24">
        <f>B30*0.85</f>
        <v>2440.35</v>
      </c>
      <c r="C40" s="24">
        <f>C30*1.15</f>
        <v>1879.1</v>
      </c>
      <c r="D40" s="24">
        <f>C40+B40</f>
        <v>4319.45</v>
      </c>
      <c r="E40" s="24">
        <f>E30*2.73</f>
        <v>556.92</v>
      </c>
      <c r="F40" s="24">
        <v>0</v>
      </c>
      <c r="G40" s="24">
        <f>F40+E40</f>
        <v>556.92</v>
      </c>
      <c r="H40" s="25">
        <f>G40+D40</f>
        <v>4876.37</v>
      </c>
    </row>
    <row r="41" spans="1:8" ht="12.75" customHeight="1">
      <c r="A41" s="36"/>
      <c r="B41" s="9"/>
      <c r="C41" s="9"/>
      <c r="D41" s="9"/>
      <c r="E41" s="9"/>
      <c r="F41" s="9"/>
      <c r="G41" s="9"/>
      <c r="H41" s="11"/>
    </row>
    <row r="42" spans="1:8" ht="12.75" customHeight="1">
      <c r="A42" s="36"/>
      <c r="B42" s="16"/>
      <c r="C42" s="16"/>
      <c r="D42" s="16"/>
      <c r="E42" s="16"/>
      <c r="F42" s="16"/>
      <c r="G42" s="16"/>
      <c r="H42" s="16"/>
    </row>
    <row r="43" ht="12.75" customHeight="1">
      <c r="A43" s="95" t="s">
        <v>58</v>
      </c>
    </row>
    <row r="51" spans="1:13" s="16" customFormat="1" ht="12.75" customHeight="1">
      <c r="A51" s="3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62" spans="1:13" s="16" customFormat="1" ht="12.75" customHeight="1">
      <c r="A62" s="35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5" spans="1:13" s="16" customFormat="1" ht="12.75" customHeight="1">
      <c r="A95" s="35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107" spans="1:13" s="16" customFormat="1" ht="12.75" customHeight="1">
      <c r="A107" s="35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16" spans="1:13" s="16" customFormat="1" ht="12.75" customHeight="1">
      <c r="A116" s="35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</sheetData>
  <printOptions horizontalCentered="1"/>
  <pageMargins left="0.25" right="0.25" top="1" bottom="0.75" header="0.5" footer="0.25"/>
  <pageSetup fitToHeight="1" fitToWidth="1" horizontalDpi="300" verticalDpi="300" orientation="landscape" scale="90" r:id="rId1"/>
  <headerFooter alignWithMargins="0">
    <oddHeader>&amp;CThe University of Alabama in Huntsville
Unit Academic Reports 
</oddHeader>
    <oddFooter xml:space="preserve">&amp;L&amp;8Office of Institutional Research
&amp;D (ly)
&amp;F 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40">
    <pageSetUpPr fitToPage="1"/>
  </sheetPr>
  <dimension ref="A1:R163"/>
  <sheetViews>
    <sheetView workbookViewId="0" topLeftCell="A1">
      <selection activeCell="D10" sqref="D10"/>
    </sheetView>
  </sheetViews>
  <sheetFormatPr defaultColWidth="9.140625" defaultRowHeight="12.75" customHeight="1"/>
  <cols>
    <col min="1" max="1" width="20.7109375" style="2" customWidth="1"/>
    <col min="2" max="17" width="7.28125" style="2" customWidth="1"/>
    <col min="18" max="16384" width="9.140625" style="2" customWidth="1"/>
  </cols>
  <sheetData>
    <row r="1" ht="12.75" customHeight="1">
      <c r="A1" s="1" t="s">
        <v>34</v>
      </c>
    </row>
    <row r="2" ht="12.75" customHeight="1">
      <c r="A2" s="1"/>
    </row>
    <row r="3" spans="1:18" ht="12.75" customHeight="1">
      <c r="A3"/>
      <c r="B3" s="45" t="s">
        <v>1</v>
      </c>
      <c r="C3" s="46"/>
      <c r="D3" s="45" t="s">
        <v>2</v>
      </c>
      <c r="E3" s="46"/>
      <c r="F3" s="45" t="s">
        <v>3</v>
      </c>
      <c r="G3" s="46"/>
      <c r="H3" s="45" t="s">
        <v>4</v>
      </c>
      <c r="I3" s="46"/>
      <c r="J3" s="45" t="s">
        <v>5</v>
      </c>
      <c r="K3" s="46"/>
      <c r="L3" s="118" t="s">
        <v>6</v>
      </c>
      <c r="M3" s="119"/>
      <c r="N3" s="105" t="s">
        <v>45</v>
      </c>
      <c r="O3" s="105"/>
      <c r="P3" s="45" t="s">
        <v>7</v>
      </c>
      <c r="Q3" s="46"/>
      <c r="R3" s="41" t="s">
        <v>8</v>
      </c>
    </row>
    <row r="4" spans="1:18" ht="12.75" customHeight="1">
      <c r="A4" s="6" t="s">
        <v>62</v>
      </c>
      <c r="B4" s="42" t="s">
        <v>9</v>
      </c>
      <c r="C4" s="43" t="s">
        <v>10</v>
      </c>
      <c r="D4" s="42" t="s">
        <v>9</v>
      </c>
      <c r="E4" s="43" t="s">
        <v>10</v>
      </c>
      <c r="F4" s="42" t="s">
        <v>9</v>
      </c>
      <c r="G4" s="43" t="s">
        <v>10</v>
      </c>
      <c r="H4" s="42" t="s">
        <v>9</v>
      </c>
      <c r="I4" s="43" t="s">
        <v>10</v>
      </c>
      <c r="J4" s="42" t="s">
        <v>9</v>
      </c>
      <c r="K4" s="43" t="s">
        <v>10</v>
      </c>
      <c r="L4" s="42" t="s">
        <v>9</v>
      </c>
      <c r="M4" s="43" t="s">
        <v>10</v>
      </c>
      <c r="N4" s="42" t="s">
        <v>9</v>
      </c>
      <c r="O4" s="43" t="s">
        <v>10</v>
      </c>
      <c r="P4" s="42" t="s">
        <v>9</v>
      </c>
      <c r="Q4" s="43" t="s">
        <v>10</v>
      </c>
      <c r="R4" s="44" t="s">
        <v>7</v>
      </c>
    </row>
    <row r="5" spans="1:18" ht="12.75" customHeight="1">
      <c r="A5"/>
      <c r="B5" s="3"/>
      <c r="C5" s="4"/>
      <c r="D5" s="3"/>
      <c r="E5" s="4"/>
      <c r="F5" s="3"/>
      <c r="G5" s="4"/>
      <c r="H5" s="3"/>
      <c r="I5" s="4"/>
      <c r="J5" s="3"/>
      <c r="K5" s="4"/>
      <c r="L5" s="3"/>
      <c r="M5" s="4"/>
      <c r="N5" s="106"/>
      <c r="O5" s="106"/>
      <c r="P5" s="3"/>
      <c r="Q5" s="4"/>
      <c r="R5" s="8"/>
    </row>
    <row r="6" spans="1:18" ht="12.75" customHeight="1">
      <c r="A6" s="15" t="s">
        <v>42</v>
      </c>
      <c r="B6" s="60">
        <v>2</v>
      </c>
      <c r="C6" s="61">
        <v>0</v>
      </c>
      <c r="D6" s="60">
        <v>0</v>
      </c>
      <c r="E6" s="61">
        <v>2</v>
      </c>
      <c r="F6" s="60">
        <v>0</v>
      </c>
      <c r="G6" s="61">
        <v>0</v>
      </c>
      <c r="H6" s="60">
        <v>0</v>
      </c>
      <c r="I6" s="61">
        <v>0</v>
      </c>
      <c r="J6" s="60">
        <v>0</v>
      </c>
      <c r="K6" s="61">
        <v>0</v>
      </c>
      <c r="L6" s="60">
        <v>0</v>
      </c>
      <c r="M6" s="61">
        <v>0</v>
      </c>
      <c r="N6" s="82">
        <v>0</v>
      </c>
      <c r="O6" s="82">
        <v>0</v>
      </c>
      <c r="P6" s="60">
        <f aca="true" t="shared" si="0" ref="P6:Q10">L6+J6+H6+F6+D6+B6</f>
        <v>2</v>
      </c>
      <c r="Q6" s="61">
        <f t="shared" si="0"/>
        <v>2</v>
      </c>
      <c r="R6" s="62">
        <f>Q6+P6</f>
        <v>4</v>
      </c>
    </row>
    <row r="7" spans="1:18" ht="12.75" customHeight="1">
      <c r="A7" s="15" t="s">
        <v>44</v>
      </c>
      <c r="B7" s="60">
        <v>0</v>
      </c>
      <c r="C7" s="61">
        <v>2</v>
      </c>
      <c r="D7" s="60">
        <v>0</v>
      </c>
      <c r="E7" s="61">
        <v>0</v>
      </c>
      <c r="F7" s="60">
        <v>0</v>
      </c>
      <c r="G7" s="61">
        <v>0</v>
      </c>
      <c r="H7" s="60">
        <v>0</v>
      </c>
      <c r="I7" s="61">
        <v>0</v>
      </c>
      <c r="J7" s="60">
        <v>0</v>
      </c>
      <c r="K7" s="61">
        <v>0</v>
      </c>
      <c r="L7" s="60">
        <v>0</v>
      </c>
      <c r="M7" s="61">
        <v>0</v>
      </c>
      <c r="N7" s="82">
        <v>0</v>
      </c>
      <c r="O7" s="82">
        <v>0</v>
      </c>
      <c r="P7" s="60">
        <f t="shared" si="0"/>
        <v>0</v>
      </c>
      <c r="Q7" s="61">
        <f t="shared" si="0"/>
        <v>2</v>
      </c>
      <c r="R7" s="62">
        <f>Q7+P7</f>
        <v>2</v>
      </c>
    </row>
    <row r="8" spans="1:18" ht="12.75" customHeight="1">
      <c r="A8" s="15" t="s">
        <v>48</v>
      </c>
      <c r="B8" s="60">
        <v>1</v>
      </c>
      <c r="C8" s="61">
        <v>2</v>
      </c>
      <c r="D8" s="60">
        <v>0</v>
      </c>
      <c r="E8" s="61">
        <v>1</v>
      </c>
      <c r="F8" s="60">
        <v>0</v>
      </c>
      <c r="G8" s="61">
        <v>0</v>
      </c>
      <c r="H8" s="60">
        <v>0</v>
      </c>
      <c r="I8" s="61">
        <v>0</v>
      </c>
      <c r="J8" s="60">
        <v>0</v>
      </c>
      <c r="K8" s="61">
        <v>0</v>
      </c>
      <c r="L8" s="60">
        <v>0</v>
      </c>
      <c r="M8" s="61">
        <v>0</v>
      </c>
      <c r="N8" s="82">
        <v>0</v>
      </c>
      <c r="O8" s="82">
        <v>0</v>
      </c>
      <c r="P8" s="60">
        <f t="shared" si="0"/>
        <v>1</v>
      </c>
      <c r="Q8" s="61">
        <f t="shared" si="0"/>
        <v>3</v>
      </c>
      <c r="R8" s="62">
        <f>Q8+P8</f>
        <v>4</v>
      </c>
    </row>
    <row r="9" spans="1:18" ht="12.75" customHeight="1">
      <c r="A9" s="15" t="s">
        <v>50</v>
      </c>
      <c r="B9" s="60">
        <v>3</v>
      </c>
      <c r="C9" s="61">
        <v>0</v>
      </c>
      <c r="D9" s="60">
        <v>0</v>
      </c>
      <c r="E9" s="61">
        <v>2</v>
      </c>
      <c r="F9" s="60">
        <v>0</v>
      </c>
      <c r="G9" s="61">
        <v>0</v>
      </c>
      <c r="H9" s="60">
        <v>0</v>
      </c>
      <c r="I9" s="61">
        <v>0</v>
      </c>
      <c r="J9" s="60">
        <v>0</v>
      </c>
      <c r="K9" s="61">
        <v>0</v>
      </c>
      <c r="L9" s="60">
        <v>0</v>
      </c>
      <c r="M9" s="61">
        <v>0</v>
      </c>
      <c r="N9" s="82">
        <v>0</v>
      </c>
      <c r="O9" s="82">
        <v>0</v>
      </c>
      <c r="P9" s="60">
        <f t="shared" si="0"/>
        <v>3</v>
      </c>
      <c r="Q9" s="61">
        <f t="shared" si="0"/>
        <v>2</v>
      </c>
      <c r="R9" s="62">
        <f>Q9+P9</f>
        <v>5</v>
      </c>
    </row>
    <row r="10" spans="1:18" ht="12.75" customHeight="1">
      <c r="A10" s="15" t="s">
        <v>57</v>
      </c>
      <c r="B10" s="60">
        <v>5</v>
      </c>
      <c r="C10" s="61">
        <v>3</v>
      </c>
      <c r="D10" s="60">
        <v>0</v>
      </c>
      <c r="E10" s="61">
        <v>0</v>
      </c>
      <c r="F10" s="60">
        <v>0</v>
      </c>
      <c r="G10" s="61">
        <v>0</v>
      </c>
      <c r="H10" s="60">
        <v>0</v>
      </c>
      <c r="I10" s="61">
        <v>0</v>
      </c>
      <c r="J10" s="60">
        <v>0</v>
      </c>
      <c r="K10" s="61">
        <v>0</v>
      </c>
      <c r="L10" s="60">
        <v>0</v>
      </c>
      <c r="M10" s="61">
        <v>0</v>
      </c>
      <c r="N10" s="82">
        <v>0</v>
      </c>
      <c r="O10" s="82">
        <v>0</v>
      </c>
      <c r="P10" s="60">
        <f t="shared" si="0"/>
        <v>5</v>
      </c>
      <c r="Q10" s="61">
        <f t="shared" si="0"/>
        <v>3</v>
      </c>
      <c r="R10" s="62">
        <f>Q10+P10</f>
        <v>8</v>
      </c>
    </row>
    <row r="11" spans="2:18" ht="12.75" customHeight="1">
      <c r="B11" s="9"/>
      <c r="C11" s="10"/>
      <c r="D11" s="9"/>
      <c r="E11" s="10"/>
      <c r="F11" s="9"/>
      <c r="G11" s="10"/>
      <c r="H11" s="9"/>
      <c r="I11" s="10"/>
      <c r="J11" s="9"/>
      <c r="K11" s="10"/>
      <c r="L11" s="9"/>
      <c r="M11" s="10"/>
      <c r="N11" s="20"/>
      <c r="O11" s="20"/>
      <c r="P11" s="9"/>
      <c r="Q11" s="10"/>
      <c r="R11" s="11"/>
    </row>
    <row r="13" ht="12.75" customHeight="1">
      <c r="A13" s="6" t="s">
        <v>17</v>
      </c>
    </row>
    <row r="14" spans="1:18" ht="12.75" customHeight="1">
      <c r="A14" s="6" t="s">
        <v>11</v>
      </c>
      <c r="B14" s="45" t="s">
        <v>1</v>
      </c>
      <c r="C14" s="46"/>
      <c r="D14" s="45" t="s">
        <v>2</v>
      </c>
      <c r="E14" s="46"/>
      <c r="F14" s="45" t="s">
        <v>3</v>
      </c>
      <c r="G14" s="46"/>
      <c r="H14" s="45" t="s">
        <v>4</v>
      </c>
      <c r="I14" s="46"/>
      <c r="J14" s="45" t="s">
        <v>5</v>
      </c>
      <c r="K14" s="46"/>
      <c r="L14" s="118" t="s">
        <v>6</v>
      </c>
      <c r="M14" s="119"/>
      <c r="N14" s="105" t="s">
        <v>45</v>
      </c>
      <c r="O14" s="105"/>
      <c r="P14" s="45" t="s">
        <v>7</v>
      </c>
      <c r="Q14" s="46"/>
      <c r="R14" s="41" t="s">
        <v>8</v>
      </c>
    </row>
    <row r="15" spans="1:18" ht="12.75" customHeight="1">
      <c r="A15" s="6" t="s">
        <v>12</v>
      </c>
      <c r="B15" s="42" t="s">
        <v>9</v>
      </c>
      <c r="C15" s="43" t="s">
        <v>10</v>
      </c>
      <c r="D15" s="42" t="s">
        <v>9</v>
      </c>
      <c r="E15" s="43" t="s">
        <v>10</v>
      </c>
      <c r="F15" s="42" t="s">
        <v>9</v>
      </c>
      <c r="G15" s="43" t="s">
        <v>10</v>
      </c>
      <c r="H15" s="42" t="s">
        <v>9</v>
      </c>
      <c r="I15" s="43" t="s">
        <v>10</v>
      </c>
      <c r="J15" s="42" t="s">
        <v>9</v>
      </c>
      <c r="K15" s="43" t="s">
        <v>10</v>
      </c>
      <c r="L15" s="42" t="s">
        <v>9</v>
      </c>
      <c r="M15" s="43" t="s">
        <v>10</v>
      </c>
      <c r="N15" s="42" t="s">
        <v>9</v>
      </c>
      <c r="O15" s="43" t="s">
        <v>10</v>
      </c>
      <c r="P15" s="42" t="s">
        <v>9</v>
      </c>
      <c r="Q15" s="43" t="s">
        <v>10</v>
      </c>
      <c r="R15" s="44" t="s">
        <v>7</v>
      </c>
    </row>
    <row r="16" spans="1:18" ht="12.75" customHeight="1">
      <c r="A16" s="6"/>
      <c r="B16" s="12"/>
      <c r="C16" s="13"/>
      <c r="D16" s="12"/>
      <c r="E16" s="13"/>
      <c r="F16" s="12"/>
      <c r="G16" s="13"/>
      <c r="H16" s="12"/>
      <c r="I16" s="13"/>
      <c r="J16" s="12"/>
      <c r="K16" s="13"/>
      <c r="L16" s="12"/>
      <c r="M16" s="13"/>
      <c r="N16" s="106"/>
      <c r="O16" s="106"/>
      <c r="P16" s="12"/>
      <c r="Q16" s="13"/>
      <c r="R16" s="14"/>
    </row>
    <row r="17" spans="1:18" s="16" customFormat="1" ht="12.75" customHeight="1">
      <c r="A17" s="15" t="s">
        <v>42</v>
      </c>
      <c r="B17" s="60">
        <v>6</v>
      </c>
      <c r="C17" s="61">
        <v>3</v>
      </c>
      <c r="D17" s="60">
        <v>2</v>
      </c>
      <c r="E17" s="61">
        <v>1</v>
      </c>
      <c r="F17" s="60">
        <v>0</v>
      </c>
      <c r="G17" s="61">
        <v>0</v>
      </c>
      <c r="H17" s="60">
        <v>0</v>
      </c>
      <c r="I17" s="61">
        <v>0</v>
      </c>
      <c r="J17" s="60">
        <v>0</v>
      </c>
      <c r="K17" s="61">
        <v>0</v>
      </c>
      <c r="L17" s="60">
        <v>0</v>
      </c>
      <c r="M17" s="61">
        <v>0</v>
      </c>
      <c r="N17" s="82">
        <v>0</v>
      </c>
      <c r="O17" s="82">
        <v>0</v>
      </c>
      <c r="P17" s="60">
        <f aca="true" t="shared" si="1" ref="P17:Q21">L17+J17+H17+F17+D17+B17</f>
        <v>8</v>
      </c>
      <c r="Q17" s="61">
        <f t="shared" si="1"/>
        <v>4</v>
      </c>
      <c r="R17" s="62">
        <f>Q17+P17</f>
        <v>12</v>
      </c>
    </row>
    <row r="18" spans="1:18" s="16" customFormat="1" ht="12.75" customHeight="1">
      <c r="A18" s="15" t="s">
        <v>44</v>
      </c>
      <c r="B18" s="60">
        <v>5</v>
      </c>
      <c r="C18" s="61">
        <v>8</v>
      </c>
      <c r="D18" s="60">
        <v>1</v>
      </c>
      <c r="E18" s="61">
        <v>1</v>
      </c>
      <c r="F18" s="60">
        <v>0</v>
      </c>
      <c r="G18" s="61">
        <v>0</v>
      </c>
      <c r="H18" s="60">
        <v>0</v>
      </c>
      <c r="I18" s="61">
        <v>0</v>
      </c>
      <c r="J18" s="60">
        <v>0</v>
      </c>
      <c r="K18" s="61">
        <v>0</v>
      </c>
      <c r="L18" s="60">
        <v>0</v>
      </c>
      <c r="M18" s="61">
        <v>1</v>
      </c>
      <c r="N18" s="82">
        <v>0</v>
      </c>
      <c r="O18" s="82">
        <v>0</v>
      </c>
      <c r="P18" s="60">
        <f t="shared" si="1"/>
        <v>6</v>
      </c>
      <c r="Q18" s="61">
        <f t="shared" si="1"/>
        <v>10</v>
      </c>
      <c r="R18" s="62">
        <f>Q18+P18</f>
        <v>16</v>
      </c>
    </row>
    <row r="19" spans="1:18" s="16" customFormat="1" ht="12.75" customHeight="1">
      <c r="A19" s="15" t="s">
        <v>48</v>
      </c>
      <c r="B19" s="60">
        <v>9</v>
      </c>
      <c r="C19" s="61">
        <v>8</v>
      </c>
      <c r="D19" s="60">
        <v>0</v>
      </c>
      <c r="E19" s="61">
        <v>7</v>
      </c>
      <c r="F19" s="60">
        <v>0</v>
      </c>
      <c r="G19" s="61">
        <v>0</v>
      </c>
      <c r="H19" s="60">
        <v>0</v>
      </c>
      <c r="I19" s="61">
        <v>0</v>
      </c>
      <c r="J19" s="60">
        <v>0</v>
      </c>
      <c r="K19" s="61">
        <v>0</v>
      </c>
      <c r="L19" s="60">
        <v>0</v>
      </c>
      <c r="M19" s="61">
        <v>1</v>
      </c>
      <c r="N19" s="82">
        <v>0</v>
      </c>
      <c r="O19" s="82">
        <v>0</v>
      </c>
      <c r="P19" s="60">
        <f t="shared" si="1"/>
        <v>9</v>
      </c>
      <c r="Q19" s="61">
        <f t="shared" si="1"/>
        <v>16</v>
      </c>
      <c r="R19" s="62">
        <f>Q19+P19</f>
        <v>25</v>
      </c>
    </row>
    <row r="20" spans="1:18" s="16" customFormat="1" ht="12.75" customHeight="1">
      <c r="A20" s="15" t="s">
        <v>50</v>
      </c>
      <c r="B20" s="60">
        <v>8</v>
      </c>
      <c r="C20" s="61">
        <v>8</v>
      </c>
      <c r="D20" s="60">
        <v>0</v>
      </c>
      <c r="E20" s="61">
        <v>6</v>
      </c>
      <c r="F20" s="60">
        <v>0</v>
      </c>
      <c r="G20" s="61">
        <v>0</v>
      </c>
      <c r="H20" s="60">
        <v>0</v>
      </c>
      <c r="I20" s="61">
        <v>0</v>
      </c>
      <c r="J20" s="60">
        <v>0</v>
      </c>
      <c r="K20" s="61">
        <v>0</v>
      </c>
      <c r="L20" s="60">
        <v>0</v>
      </c>
      <c r="M20" s="61">
        <v>0</v>
      </c>
      <c r="N20" s="82">
        <v>0</v>
      </c>
      <c r="O20" s="82">
        <v>0</v>
      </c>
      <c r="P20" s="60">
        <f t="shared" si="1"/>
        <v>8</v>
      </c>
      <c r="Q20" s="61">
        <f t="shared" si="1"/>
        <v>14</v>
      </c>
      <c r="R20" s="62">
        <f>Q20+P20</f>
        <v>22</v>
      </c>
    </row>
    <row r="21" spans="1:18" s="16" customFormat="1" ht="12.75" customHeight="1">
      <c r="A21" s="15" t="s">
        <v>57</v>
      </c>
      <c r="B21" s="60">
        <v>9</v>
      </c>
      <c r="C21" s="61">
        <v>8</v>
      </c>
      <c r="D21" s="60">
        <v>0</v>
      </c>
      <c r="E21" s="61">
        <v>4</v>
      </c>
      <c r="F21" s="60">
        <v>0</v>
      </c>
      <c r="G21" s="61">
        <v>0</v>
      </c>
      <c r="H21" s="60">
        <v>0</v>
      </c>
      <c r="I21" s="61">
        <v>0</v>
      </c>
      <c r="J21" s="60">
        <v>0</v>
      </c>
      <c r="K21" s="61">
        <v>0</v>
      </c>
      <c r="L21" s="60">
        <v>0</v>
      </c>
      <c r="M21" s="61">
        <v>1</v>
      </c>
      <c r="N21" s="82">
        <v>0</v>
      </c>
      <c r="O21" s="82">
        <v>0</v>
      </c>
      <c r="P21" s="60">
        <f t="shared" si="1"/>
        <v>9</v>
      </c>
      <c r="Q21" s="61">
        <f t="shared" si="1"/>
        <v>13</v>
      </c>
      <c r="R21" s="62">
        <f>Q21+P21</f>
        <v>22</v>
      </c>
    </row>
    <row r="22" spans="2:18" ht="12.75" customHeight="1">
      <c r="B22" s="9"/>
      <c r="C22" s="10"/>
      <c r="D22" s="9"/>
      <c r="E22" s="10"/>
      <c r="F22" s="9"/>
      <c r="G22" s="10"/>
      <c r="H22" s="9"/>
      <c r="I22" s="10"/>
      <c r="J22" s="9"/>
      <c r="K22" s="10"/>
      <c r="L22" s="9"/>
      <c r="M22" s="10"/>
      <c r="N22" s="20"/>
      <c r="O22" s="20"/>
      <c r="P22" s="9"/>
      <c r="Q22" s="10"/>
      <c r="R22" s="11"/>
    </row>
    <row r="24" ht="12.75" customHeight="1">
      <c r="A24" s="35"/>
    </row>
    <row r="25" spans="1:2" ht="12.75" customHeight="1">
      <c r="A25" s="35"/>
      <c r="B25" s="35"/>
    </row>
    <row r="26" spans="1:15" ht="12.75" customHeight="1">
      <c r="A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</row>
    <row r="53" spans="1:18" s="16" customFormat="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63" spans="1:18" s="16" customFormat="1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85" spans="1:18" s="16" customFormat="1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97" spans="1:18" s="16" customFormat="1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108" spans="1:18" s="16" customFormat="1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21" spans="1:18" s="16" customFormat="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53" spans="1:18" s="16" customFormat="1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63" spans="1:18" s="16" customFormat="1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</sheetData>
  <mergeCells count="2">
    <mergeCell ref="L14:M14"/>
    <mergeCell ref="L3:M3"/>
  </mergeCells>
  <printOptions horizontalCentered="1"/>
  <pageMargins left="0.25" right="0.25" top="1" bottom="0.75" header="0.5" footer="0.25"/>
  <pageSetup fitToHeight="1" fitToWidth="1" horizontalDpi="300" verticalDpi="300" orientation="landscape" scale="93" r:id="rId1"/>
  <headerFooter alignWithMargins="0">
    <oddHeader>&amp;CThe University of Alabama in Huntsville
Unit Academic Reports 
</oddHeader>
    <oddFooter xml:space="preserve">&amp;L&amp;8Office of Institutional Research
&amp;D (ly)
&amp;F 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41">
    <pageSetUpPr fitToPage="1"/>
  </sheetPr>
  <dimension ref="A1:M127"/>
  <sheetViews>
    <sheetView workbookViewId="0" topLeftCell="A1">
      <selection activeCell="D10" sqref="D10"/>
    </sheetView>
  </sheetViews>
  <sheetFormatPr defaultColWidth="9.140625" defaultRowHeight="12.75" customHeight="1"/>
  <cols>
    <col min="1" max="1" width="22.7109375" style="38" customWidth="1"/>
    <col min="2" max="8" width="13.7109375" style="2" customWidth="1"/>
    <col min="9" max="16384" width="9.140625" style="2" customWidth="1"/>
  </cols>
  <sheetData>
    <row r="1" spans="1:8" ht="12.75" customHeight="1">
      <c r="A1" s="37" t="s">
        <v>35</v>
      </c>
      <c r="B1" s="16"/>
      <c r="C1" s="16"/>
      <c r="D1" s="16"/>
      <c r="E1" s="16"/>
      <c r="F1"/>
      <c r="G1"/>
      <c r="H1"/>
    </row>
    <row r="2" spans="1:8" ht="12.75" customHeight="1">
      <c r="A2" s="37"/>
      <c r="B2" s="16"/>
      <c r="C2" s="16"/>
      <c r="D2" s="16"/>
      <c r="E2" s="16"/>
      <c r="F2"/>
      <c r="G2"/>
      <c r="H2"/>
    </row>
    <row r="3" spans="1:8" ht="12.75" customHeight="1">
      <c r="A3" s="39" t="s">
        <v>17</v>
      </c>
      <c r="F3"/>
      <c r="G3"/>
      <c r="H3"/>
    </row>
    <row r="4" spans="1:4" s="38" customFormat="1" ht="12.75" customHeight="1">
      <c r="A4" s="39" t="s">
        <v>11</v>
      </c>
      <c r="B4" s="47" t="s">
        <v>16</v>
      </c>
      <c r="C4" s="47" t="s">
        <v>14</v>
      </c>
      <c r="D4" s="47" t="s">
        <v>15</v>
      </c>
    </row>
    <row r="5" spans="2:7" ht="12.75" customHeight="1">
      <c r="B5" s="8"/>
      <c r="C5" s="8"/>
      <c r="D5" s="8"/>
      <c r="E5"/>
      <c r="F5"/>
      <c r="G5"/>
    </row>
    <row r="6" spans="1:7" s="16" customFormat="1" ht="12.75" customHeight="1">
      <c r="A6" s="40" t="s">
        <v>42</v>
      </c>
      <c r="B6" s="14">
        <v>8</v>
      </c>
      <c r="C6" s="14">
        <f>PA!R17</f>
        <v>12</v>
      </c>
      <c r="D6" s="14">
        <v>15</v>
      </c>
      <c r="E6" s="26"/>
      <c r="F6" s="26"/>
      <c r="G6" s="26"/>
    </row>
    <row r="7" spans="1:7" s="16" customFormat="1" ht="12.75" customHeight="1">
      <c r="A7" s="40" t="s">
        <v>44</v>
      </c>
      <c r="B7" s="14">
        <v>10</v>
      </c>
      <c r="C7" s="14">
        <f>PA!R18</f>
        <v>16</v>
      </c>
      <c r="D7" s="14">
        <v>21</v>
      </c>
      <c r="E7" s="26"/>
      <c r="F7" s="26"/>
      <c r="G7" s="26"/>
    </row>
    <row r="8" spans="1:7" s="16" customFormat="1" ht="12.75" customHeight="1">
      <c r="A8" s="40" t="s">
        <v>48</v>
      </c>
      <c r="B8" s="14">
        <v>12</v>
      </c>
      <c r="C8" s="14">
        <f>PA!R19</f>
        <v>25</v>
      </c>
      <c r="D8" s="14">
        <v>22</v>
      </c>
      <c r="E8" s="26"/>
      <c r="F8" s="26"/>
      <c r="G8" s="26"/>
    </row>
    <row r="9" spans="1:7" s="16" customFormat="1" ht="12.75" customHeight="1">
      <c r="A9" s="15" t="s">
        <v>50</v>
      </c>
      <c r="B9" s="14">
        <v>12</v>
      </c>
      <c r="C9" s="14">
        <f>PA!R20</f>
        <v>22</v>
      </c>
      <c r="D9" s="14">
        <v>27</v>
      </c>
      <c r="E9" s="26"/>
      <c r="F9" s="26"/>
      <c r="G9" s="26"/>
    </row>
    <row r="10" spans="1:7" s="16" customFormat="1" ht="12.75" customHeight="1">
      <c r="A10" s="15" t="s">
        <v>57</v>
      </c>
      <c r="B10" s="14">
        <v>10</v>
      </c>
      <c r="C10" s="14">
        <f>PA!R21</f>
        <v>22</v>
      </c>
      <c r="D10" s="14">
        <v>21</v>
      </c>
      <c r="E10" s="26"/>
      <c r="F10" s="26"/>
      <c r="G10" s="26"/>
    </row>
    <row r="11" spans="1:7" ht="12.75" customHeight="1">
      <c r="A11" s="39"/>
      <c r="B11" s="7"/>
      <c r="C11" s="7"/>
      <c r="D11" s="7"/>
      <c r="E11"/>
      <c r="F11"/>
      <c r="G11"/>
    </row>
    <row r="12" spans="1:7" ht="12.75" customHeight="1">
      <c r="A12" s="39"/>
      <c r="B12" s="23"/>
      <c r="C12" s="23"/>
      <c r="D12" s="23"/>
      <c r="E12"/>
      <c r="F12"/>
      <c r="G12"/>
    </row>
    <row r="30" spans="1:13" s="16" customFormat="1" ht="12.75" customHeight="1">
      <c r="A30" s="38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62" spans="1:13" s="16" customFormat="1" ht="12.75" customHeight="1">
      <c r="A62" s="38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73" spans="1:13" s="16" customFormat="1" ht="12.75" customHeight="1">
      <c r="A73" s="38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6" spans="1:13" s="16" customFormat="1" ht="12.75" customHeight="1">
      <c r="A106" s="38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18" spans="1:13" s="16" customFormat="1" ht="12.75" customHeight="1">
      <c r="A118" s="38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27" spans="1:13" s="16" customFormat="1" ht="12.75" customHeight="1">
      <c r="A127" s="38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</sheetData>
  <printOptions/>
  <pageMargins left="1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>&amp;L&amp;8Office of Institutional Research
&amp;D (ly)
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R25"/>
  <sheetViews>
    <sheetView workbookViewId="0" topLeftCell="A1">
      <selection activeCell="J10" sqref="J10"/>
    </sheetView>
  </sheetViews>
  <sheetFormatPr defaultColWidth="9.140625" defaultRowHeight="12.75" customHeight="1"/>
  <cols>
    <col min="1" max="1" width="20.7109375" style="2" customWidth="1"/>
    <col min="2" max="12" width="7.28125" style="2" customWidth="1"/>
    <col min="13" max="13" width="7.00390625" style="2" bestFit="1" customWidth="1"/>
    <col min="14" max="15" width="7.00390625" style="2" customWidth="1"/>
    <col min="16" max="17" width="7.28125" style="2" customWidth="1"/>
    <col min="18" max="16384" width="9.140625" style="2" customWidth="1"/>
  </cols>
  <sheetData>
    <row r="1" ht="12.75" customHeight="1">
      <c r="A1" s="1" t="s">
        <v>0</v>
      </c>
    </row>
    <row r="2" ht="12.75" customHeight="1">
      <c r="A2" s="1"/>
    </row>
    <row r="3" spans="1:18" s="35" customFormat="1" ht="12.75" customHeight="1">
      <c r="A3" s="36"/>
      <c r="B3" s="45" t="s">
        <v>1</v>
      </c>
      <c r="C3" s="46"/>
      <c r="D3" s="45" t="s">
        <v>2</v>
      </c>
      <c r="E3" s="46"/>
      <c r="F3" s="45" t="s">
        <v>3</v>
      </c>
      <c r="G3" s="46"/>
      <c r="H3" s="45" t="s">
        <v>4</v>
      </c>
      <c r="I3" s="46"/>
      <c r="J3" s="45" t="s">
        <v>5</v>
      </c>
      <c r="K3" s="46"/>
      <c r="L3" s="45" t="s">
        <v>6</v>
      </c>
      <c r="M3" s="46"/>
      <c r="N3" s="105" t="s">
        <v>45</v>
      </c>
      <c r="O3" s="105"/>
      <c r="P3" s="45" t="s">
        <v>7</v>
      </c>
      <c r="Q3" s="46"/>
      <c r="R3" s="41" t="s">
        <v>8</v>
      </c>
    </row>
    <row r="4" spans="1:18" s="35" customFormat="1" ht="12.75" customHeight="1">
      <c r="A4" s="6" t="s">
        <v>61</v>
      </c>
      <c r="B4" s="42" t="s">
        <v>9</v>
      </c>
      <c r="C4" s="43" t="s">
        <v>10</v>
      </c>
      <c r="D4" s="42" t="s">
        <v>9</v>
      </c>
      <c r="E4" s="43" t="s">
        <v>10</v>
      </c>
      <c r="F4" s="42" t="s">
        <v>9</v>
      </c>
      <c r="G4" s="43" t="s">
        <v>10</v>
      </c>
      <c r="H4" s="42" t="s">
        <v>9</v>
      </c>
      <c r="I4" s="43" t="s">
        <v>10</v>
      </c>
      <c r="J4" s="42" t="s">
        <v>9</v>
      </c>
      <c r="K4" s="43" t="s">
        <v>10</v>
      </c>
      <c r="L4" s="42" t="s">
        <v>9</v>
      </c>
      <c r="M4" s="43" t="s">
        <v>10</v>
      </c>
      <c r="N4" s="42" t="s">
        <v>9</v>
      </c>
      <c r="O4" s="43" t="s">
        <v>10</v>
      </c>
      <c r="P4" s="42" t="s">
        <v>9</v>
      </c>
      <c r="Q4" s="43" t="s">
        <v>10</v>
      </c>
      <c r="R4" s="44" t="s">
        <v>7</v>
      </c>
    </row>
    <row r="5" spans="1:18" ht="12.75" customHeight="1">
      <c r="A5"/>
      <c r="B5" s="3"/>
      <c r="C5" s="4"/>
      <c r="D5" s="3"/>
      <c r="E5" s="4"/>
      <c r="F5" s="3"/>
      <c r="G5" s="4"/>
      <c r="H5" s="3"/>
      <c r="I5" s="4"/>
      <c r="J5" s="3"/>
      <c r="K5" s="4"/>
      <c r="L5" s="3"/>
      <c r="M5" s="4"/>
      <c r="N5" s="106"/>
      <c r="O5" s="106"/>
      <c r="P5" s="3"/>
      <c r="Q5" s="4"/>
      <c r="R5" s="8"/>
    </row>
    <row r="6" spans="1:18" ht="12.75" customHeight="1">
      <c r="A6" s="15" t="s">
        <v>42</v>
      </c>
      <c r="B6" s="60">
        <v>5</v>
      </c>
      <c r="C6" s="61">
        <v>9</v>
      </c>
      <c r="D6" s="60">
        <v>0</v>
      </c>
      <c r="E6" s="61">
        <v>0</v>
      </c>
      <c r="F6" s="60">
        <v>0</v>
      </c>
      <c r="G6" s="61">
        <v>0</v>
      </c>
      <c r="H6" s="60">
        <v>0</v>
      </c>
      <c r="I6" s="61">
        <v>0</v>
      </c>
      <c r="J6" s="60">
        <v>1</v>
      </c>
      <c r="K6" s="61">
        <v>0</v>
      </c>
      <c r="L6" s="60">
        <v>1</v>
      </c>
      <c r="M6" s="61">
        <v>0</v>
      </c>
      <c r="N6" s="82">
        <v>0</v>
      </c>
      <c r="O6" s="82">
        <v>0</v>
      </c>
      <c r="P6" s="60">
        <f aca="true" t="shared" si="0" ref="P6:Q8">L6+J6+H6+F6+D6+B6</f>
        <v>7</v>
      </c>
      <c r="Q6" s="61">
        <f t="shared" si="0"/>
        <v>9</v>
      </c>
      <c r="R6" s="62">
        <f>Q6+P6</f>
        <v>16</v>
      </c>
    </row>
    <row r="7" spans="1:18" ht="12.75" customHeight="1">
      <c r="A7" s="15" t="s">
        <v>44</v>
      </c>
      <c r="B7" s="60">
        <v>6</v>
      </c>
      <c r="C7" s="61">
        <v>13</v>
      </c>
      <c r="D7" s="60">
        <v>0</v>
      </c>
      <c r="E7" s="61">
        <v>2</v>
      </c>
      <c r="F7" s="60">
        <v>0</v>
      </c>
      <c r="G7" s="61">
        <v>0</v>
      </c>
      <c r="H7" s="60">
        <v>0</v>
      </c>
      <c r="I7" s="61">
        <v>0</v>
      </c>
      <c r="J7" s="60">
        <v>0</v>
      </c>
      <c r="K7" s="61">
        <v>0</v>
      </c>
      <c r="L7" s="60">
        <v>0</v>
      </c>
      <c r="M7" s="61">
        <v>0</v>
      </c>
      <c r="N7" s="82">
        <v>0</v>
      </c>
      <c r="O7" s="82">
        <v>0</v>
      </c>
      <c r="P7" s="60">
        <f t="shared" si="0"/>
        <v>6</v>
      </c>
      <c r="Q7" s="61">
        <f t="shared" si="0"/>
        <v>15</v>
      </c>
      <c r="R7" s="62">
        <f>Q7+P7</f>
        <v>21</v>
      </c>
    </row>
    <row r="8" spans="1:18" ht="12.75" customHeight="1">
      <c r="A8" s="15" t="s">
        <v>48</v>
      </c>
      <c r="B8" s="60">
        <v>10</v>
      </c>
      <c r="C8" s="61">
        <v>15</v>
      </c>
      <c r="D8" s="60">
        <v>0</v>
      </c>
      <c r="E8" s="61">
        <v>1</v>
      </c>
      <c r="F8" s="60">
        <v>0</v>
      </c>
      <c r="G8" s="61">
        <v>1</v>
      </c>
      <c r="H8" s="60">
        <v>0</v>
      </c>
      <c r="I8" s="61">
        <v>0</v>
      </c>
      <c r="J8" s="60">
        <v>0</v>
      </c>
      <c r="K8" s="61">
        <v>0</v>
      </c>
      <c r="L8" s="60">
        <v>0</v>
      </c>
      <c r="M8" s="61">
        <v>0</v>
      </c>
      <c r="N8" s="82">
        <v>0</v>
      </c>
      <c r="O8" s="82">
        <v>0</v>
      </c>
      <c r="P8" s="60">
        <f t="shared" si="0"/>
        <v>10</v>
      </c>
      <c r="Q8" s="61">
        <f t="shared" si="0"/>
        <v>17</v>
      </c>
      <c r="R8" s="62">
        <f>Q8+P8</f>
        <v>27</v>
      </c>
    </row>
    <row r="9" spans="1:18" ht="12.75" customHeight="1">
      <c r="A9" s="15" t="s">
        <v>50</v>
      </c>
      <c r="B9" s="60">
        <v>11</v>
      </c>
      <c r="C9" s="61">
        <v>16</v>
      </c>
      <c r="D9" s="60">
        <v>4</v>
      </c>
      <c r="E9" s="61">
        <v>0</v>
      </c>
      <c r="F9" s="60">
        <v>0</v>
      </c>
      <c r="G9" s="61">
        <v>1</v>
      </c>
      <c r="H9" s="60">
        <v>1</v>
      </c>
      <c r="I9" s="61">
        <v>2</v>
      </c>
      <c r="J9" s="60">
        <v>1</v>
      </c>
      <c r="K9" s="61">
        <v>0</v>
      </c>
      <c r="L9" s="60">
        <v>1</v>
      </c>
      <c r="M9" s="61">
        <v>1</v>
      </c>
      <c r="N9" s="82">
        <v>0</v>
      </c>
      <c r="O9" s="82">
        <v>0</v>
      </c>
      <c r="P9" s="60">
        <f>L9+J9+H9+F9+D9+B9+N9</f>
        <v>18</v>
      </c>
      <c r="Q9" s="61">
        <f>M9+K9+I9+G9+E9+C9+O9</f>
        <v>20</v>
      </c>
      <c r="R9" s="62">
        <f>Q9+P9</f>
        <v>38</v>
      </c>
    </row>
    <row r="10" spans="1:18" ht="12.75" customHeight="1">
      <c r="A10" s="15" t="s">
        <v>57</v>
      </c>
      <c r="B10" s="60">
        <v>4</v>
      </c>
      <c r="C10" s="61">
        <v>11</v>
      </c>
      <c r="D10" s="60">
        <v>0</v>
      </c>
      <c r="E10" s="61">
        <v>0</v>
      </c>
      <c r="F10" s="60">
        <v>0</v>
      </c>
      <c r="G10" s="61">
        <v>2</v>
      </c>
      <c r="H10" s="60">
        <v>0</v>
      </c>
      <c r="I10" s="61">
        <v>1</v>
      </c>
      <c r="J10" s="60">
        <v>0</v>
      </c>
      <c r="K10" s="61">
        <v>0</v>
      </c>
      <c r="L10" s="60">
        <v>0</v>
      </c>
      <c r="M10" s="61">
        <v>0</v>
      </c>
      <c r="N10" s="82">
        <v>0</v>
      </c>
      <c r="O10" s="82">
        <v>1</v>
      </c>
      <c r="P10" s="60">
        <f>L10+J10+H10+F10+D10+B10+N10</f>
        <v>4</v>
      </c>
      <c r="Q10" s="61">
        <f>M10+K10+I10+G10+E10+C10+O10</f>
        <v>15</v>
      </c>
      <c r="R10" s="62">
        <f>Q10+P10</f>
        <v>19</v>
      </c>
    </row>
    <row r="11" spans="2:18" ht="12.75" customHeight="1">
      <c r="B11" s="9"/>
      <c r="C11" s="10"/>
      <c r="D11" s="9"/>
      <c r="E11" s="10"/>
      <c r="F11" s="9"/>
      <c r="G11" s="10"/>
      <c r="H11" s="9"/>
      <c r="I11" s="10"/>
      <c r="J11" s="9"/>
      <c r="K11" s="10"/>
      <c r="L11" s="9"/>
      <c r="M11" s="10"/>
      <c r="N11" s="20"/>
      <c r="O11" s="20"/>
      <c r="P11" s="9"/>
      <c r="Q11" s="10"/>
      <c r="R11" s="11"/>
    </row>
    <row r="14" spans="1:18" ht="12.75" customHeight="1">
      <c r="A14" s="6" t="s">
        <v>11</v>
      </c>
      <c r="B14" s="45" t="s">
        <v>1</v>
      </c>
      <c r="C14" s="46"/>
      <c r="D14" s="45" t="s">
        <v>2</v>
      </c>
      <c r="E14" s="46"/>
      <c r="F14" s="45" t="s">
        <v>3</v>
      </c>
      <c r="G14" s="46"/>
      <c r="H14" s="45" t="s">
        <v>4</v>
      </c>
      <c r="I14" s="46"/>
      <c r="J14" s="45" t="s">
        <v>5</v>
      </c>
      <c r="K14" s="46"/>
      <c r="L14" s="45" t="s">
        <v>6</v>
      </c>
      <c r="M14" s="46"/>
      <c r="N14" s="105" t="s">
        <v>45</v>
      </c>
      <c r="O14" s="105"/>
      <c r="P14" s="45" t="s">
        <v>7</v>
      </c>
      <c r="Q14" s="46"/>
      <c r="R14" s="41" t="s">
        <v>8</v>
      </c>
    </row>
    <row r="15" spans="1:18" ht="12.75" customHeight="1">
      <c r="A15" s="6" t="s">
        <v>12</v>
      </c>
      <c r="B15" s="42" t="s">
        <v>9</v>
      </c>
      <c r="C15" s="43" t="s">
        <v>10</v>
      </c>
      <c r="D15" s="42" t="s">
        <v>9</v>
      </c>
      <c r="E15" s="43" t="s">
        <v>10</v>
      </c>
      <c r="F15" s="42" t="s">
        <v>9</v>
      </c>
      <c r="G15" s="43" t="s">
        <v>10</v>
      </c>
      <c r="H15" s="42" t="s">
        <v>9</v>
      </c>
      <c r="I15" s="43" t="s">
        <v>10</v>
      </c>
      <c r="J15" s="42" t="s">
        <v>9</v>
      </c>
      <c r="K15" s="43" t="s">
        <v>10</v>
      </c>
      <c r="L15" s="42" t="s">
        <v>9</v>
      </c>
      <c r="M15" s="43" t="s">
        <v>10</v>
      </c>
      <c r="N15" s="42" t="s">
        <v>9</v>
      </c>
      <c r="O15" s="43" t="s">
        <v>10</v>
      </c>
      <c r="P15" s="42" t="s">
        <v>9</v>
      </c>
      <c r="Q15" s="43" t="s">
        <v>10</v>
      </c>
      <c r="R15" s="44" t="s">
        <v>7</v>
      </c>
    </row>
    <row r="16" spans="1:18" ht="12.75" customHeight="1">
      <c r="A16" s="6"/>
      <c r="B16" s="12"/>
      <c r="C16" s="13"/>
      <c r="D16" s="12"/>
      <c r="E16" s="13"/>
      <c r="F16" s="12"/>
      <c r="G16" s="13"/>
      <c r="H16" s="12"/>
      <c r="I16" s="13"/>
      <c r="J16" s="12"/>
      <c r="K16" s="13"/>
      <c r="L16" s="12"/>
      <c r="M16" s="13"/>
      <c r="N16" s="23"/>
      <c r="O16" s="23"/>
      <c r="P16" s="12"/>
      <c r="Q16" s="13"/>
      <c r="R16" s="14"/>
    </row>
    <row r="17" spans="1:18" s="16" customFormat="1" ht="12.75" customHeight="1">
      <c r="A17" s="15" t="s">
        <v>42</v>
      </c>
      <c r="B17" s="60">
        <v>43</v>
      </c>
      <c r="C17" s="61">
        <v>72</v>
      </c>
      <c r="D17" s="60">
        <v>3</v>
      </c>
      <c r="E17" s="61">
        <v>8</v>
      </c>
      <c r="F17" s="60">
        <v>0</v>
      </c>
      <c r="G17" s="61">
        <v>3</v>
      </c>
      <c r="H17" s="60">
        <v>2</v>
      </c>
      <c r="I17" s="61">
        <v>3</v>
      </c>
      <c r="J17" s="60">
        <v>3</v>
      </c>
      <c r="K17" s="61">
        <v>1</v>
      </c>
      <c r="L17" s="60">
        <v>0</v>
      </c>
      <c r="M17" s="61">
        <v>3</v>
      </c>
      <c r="N17" s="82">
        <v>0</v>
      </c>
      <c r="O17" s="82">
        <v>0</v>
      </c>
      <c r="P17" s="60">
        <f aca="true" t="shared" si="1" ref="P17:Q19">L17+J17+H17+F17+D17+B17</f>
        <v>51</v>
      </c>
      <c r="Q17" s="61">
        <f t="shared" si="1"/>
        <v>90</v>
      </c>
      <c r="R17" s="62">
        <f>Q17+P17</f>
        <v>141</v>
      </c>
    </row>
    <row r="18" spans="1:18" s="16" customFormat="1" ht="12.75" customHeight="1">
      <c r="A18" s="15" t="s">
        <v>44</v>
      </c>
      <c r="B18" s="60">
        <v>42</v>
      </c>
      <c r="C18" s="61">
        <v>75</v>
      </c>
      <c r="D18" s="60">
        <v>5</v>
      </c>
      <c r="E18" s="61">
        <v>9</v>
      </c>
      <c r="F18" s="60">
        <v>2</v>
      </c>
      <c r="G18" s="61">
        <v>2</v>
      </c>
      <c r="H18" s="60">
        <v>3</v>
      </c>
      <c r="I18" s="61">
        <v>3</v>
      </c>
      <c r="J18" s="60">
        <v>1</v>
      </c>
      <c r="K18" s="61">
        <v>0</v>
      </c>
      <c r="L18" s="60">
        <v>1</v>
      </c>
      <c r="M18" s="61">
        <v>2</v>
      </c>
      <c r="N18" s="82">
        <v>0</v>
      </c>
      <c r="O18" s="82">
        <v>0</v>
      </c>
      <c r="P18" s="60">
        <f t="shared" si="1"/>
        <v>54</v>
      </c>
      <c r="Q18" s="61">
        <f t="shared" si="1"/>
        <v>91</v>
      </c>
      <c r="R18" s="62">
        <f>Q18+P18</f>
        <v>145</v>
      </c>
    </row>
    <row r="19" spans="1:18" s="16" customFormat="1" ht="12.75" customHeight="1">
      <c r="A19" s="15" t="s">
        <v>48</v>
      </c>
      <c r="B19" s="60">
        <v>39</v>
      </c>
      <c r="C19" s="61">
        <v>76</v>
      </c>
      <c r="D19" s="60">
        <v>9</v>
      </c>
      <c r="E19" s="61">
        <v>7</v>
      </c>
      <c r="F19" s="60">
        <v>1</v>
      </c>
      <c r="G19" s="61">
        <v>2</v>
      </c>
      <c r="H19" s="60">
        <v>3</v>
      </c>
      <c r="I19" s="61">
        <v>5</v>
      </c>
      <c r="J19" s="60">
        <v>0</v>
      </c>
      <c r="K19" s="61">
        <v>1</v>
      </c>
      <c r="L19" s="60">
        <v>2</v>
      </c>
      <c r="M19" s="61">
        <v>3</v>
      </c>
      <c r="N19" s="82">
        <v>0</v>
      </c>
      <c r="O19" s="82">
        <v>0</v>
      </c>
      <c r="P19" s="60">
        <f t="shared" si="1"/>
        <v>54</v>
      </c>
      <c r="Q19" s="61">
        <f t="shared" si="1"/>
        <v>94</v>
      </c>
      <c r="R19" s="62">
        <f>Q19+P19</f>
        <v>148</v>
      </c>
    </row>
    <row r="20" spans="1:18" s="16" customFormat="1" ht="12.75" customHeight="1">
      <c r="A20" s="15" t="s">
        <v>50</v>
      </c>
      <c r="B20" s="60">
        <v>37</v>
      </c>
      <c r="C20" s="61">
        <v>78</v>
      </c>
      <c r="D20" s="60">
        <v>8</v>
      </c>
      <c r="E20" s="61">
        <v>7</v>
      </c>
      <c r="F20" s="60">
        <v>1</v>
      </c>
      <c r="G20" s="61">
        <v>5</v>
      </c>
      <c r="H20" s="60">
        <v>3</v>
      </c>
      <c r="I20" s="61">
        <v>6</v>
      </c>
      <c r="J20" s="60">
        <v>0</v>
      </c>
      <c r="K20" s="61">
        <v>1</v>
      </c>
      <c r="L20" s="60">
        <v>1</v>
      </c>
      <c r="M20" s="61">
        <v>4</v>
      </c>
      <c r="N20" s="82">
        <v>1</v>
      </c>
      <c r="O20" s="82">
        <v>1</v>
      </c>
      <c r="P20" s="60">
        <f>L20+J20+H20+F20+D20+B20+N20</f>
        <v>51</v>
      </c>
      <c r="Q20" s="61">
        <f>M20+K20+I20+G20+E20+C20+O20</f>
        <v>102</v>
      </c>
      <c r="R20" s="62">
        <f>Q20+P20</f>
        <v>153</v>
      </c>
    </row>
    <row r="21" spans="1:18" s="16" customFormat="1" ht="12.75" customHeight="1">
      <c r="A21" s="15" t="s">
        <v>57</v>
      </c>
      <c r="B21" s="60">
        <v>40</v>
      </c>
      <c r="C21" s="61">
        <v>70</v>
      </c>
      <c r="D21" s="60">
        <v>9</v>
      </c>
      <c r="E21" s="61">
        <v>12</v>
      </c>
      <c r="F21" s="60">
        <v>0</v>
      </c>
      <c r="G21" s="61">
        <v>3</v>
      </c>
      <c r="H21" s="60">
        <v>1</v>
      </c>
      <c r="I21" s="61">
        <v>5</v>
      </c>
      <c r="J21" s="60">
        <v>1</v>
      </c>
      <c r="K21" s="61">
        <v>2</v>
      </c>
      <c r="L21" s="60">
        <v>0</v>
      </c>
      <c r="M21" s="61">
        <v>3</v>
      </c>
      <c r="N21" s="82">
        <v>0</v>
      </c>
      <c r="O21" s="82">
        <v>2</v>
      </c>
      <c r="P21" s="60">
        <f>L21+J21+H21+F21+D21+B21+N21</f>
        <v>51</v>
      </c>
      <c r="Q21" s="61">
        <f>M21+K21+I21+G21+E21+C21+O21</f>
        <v>97</v>
      </c>
      <c r="R21" s="62">
        <f>Q21+P21</f>
        <v>148</v>
      </c>
    </row>
    <row r="22" spans="2:18" ht="12.75" customHeight="1">
      <c r="B22" s="9"/>
      <c r="C22" s="10"/>
      <c r="D22" s="9"/>
      <c r="E22" s="10"/>
      <c r="F22" s="9"/>
      <c r="G22" s="10"/>
      <c r="H22" s="9"/>
      <c r="I22" s="10"/>
      <c r="J22" s="9"/>
      <c r="K22" s="10"/>
      <c r="L22" s="9"/>
      <c r="M22" s="10"/>
      <c r="N22" s="20"/>
      <c r="O22" s="20"/>
      <c r="P22" s="9"/>
      <c r="Q22" s="10"/>
      <c r="R22" s="11"/>
    </row>
    <row r="24" ht="12.75" customHeight="1">
      <c r="A24" s="104"/>
    </row>
    <row r="25" spans="1:15" ht="12.75" customHeight="1">
      <c r="A25" s="35"/>
      <c r="B25" s="35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51" s="16" customFormat="1" ht="12.75" customHeight="1"/>
    <row r="61" s="16" customFormat="1" ht="12.75" customHeight="1"/>
    <row r="82" s="16" customFormat="1" ht="12.75" customHeight="1"/>
    <row r="104" s="16" customFormat="1" ht="12.75" customHeight="1"/>
    <row r="126" s="16" customFormat="1" ht="12.75" customHeight="1"/>
    <row r="149" s="16" customFormat="1" ht="12.75" customHeight="1"/>
    <row r="162" s="16" customFormat="1" ht="12.75" customHeight="1"/>
    <row r="174" s="16" customFormat="1" ht="12.75" customHeight="1"/>
    <row r="195" s="16" customFormat="1" ht="12.75" customHeight="1"/>
    <row r="217" s="16" customFormat="1" ht="12.75" customHeight="1"/>
    <row r="238" s="16" customFormat="1" ht="12.75" customHeight="1"/>
    <row r="259" s="16" customFormat="1" ht="12.75" customHeight="1"/>
    <row r="312" s="16" customFormat="1" ht="12.75" customHeight="1"/>
    <row r="322" s="16" customFormat="1" ht="12.75" customHeight="1"/>
    <row r="344" s="16" customFormat="1" ht="12.75" customHeight="1"/>
    <row r="367" s="16" customFormat="1" ht="12.75" customHeight="1"/>
    <row r="390" s="16" customFormat="1" ht="12.75" customHeight="1"/>
    <row r="412" s="16" customFormat="1" ht="12.75" customHeight="1"/>
    <row r="434" s="16" customFormat="1" ht="12.75" customHeight="1"/>
    <row r="466" s="16" customFormat="1" ht="12.75" customHeight="1"/>
    <row r="476" s="16" customFormat="1" ht="12.75" customHeight="1"/>
    <row r="498" s="16" customFormat="1" ht="12.75" customHeight="1"/>
    <row r="510" s="16" customFormat="1" ht="12.75" customHeight="1"/>
    <row r="521" s="16" customFormat="1" ht="12.75" customHeight="1"/>
    <row r="534" s="16" customFormat="1" ht="12.75" customHeight="1"/>
    <row r="566" s="16" customFormat="1" ht="12.75" customHeight="1"/>
    <row r="576" s="16" customFormat="1" ht="12.75" customHeight="1"/>
  </sheetData>
  <printOptions horizontalCentered="1"/>
  <pageMargins left="0.25" right="0.25" top="1" bottom="0.75" header="0.5" footer="0.25"/>
  <pageSetup fitToHeight="1" fitToWidth="1" horizontalDpi="300" verticalDpi="300" orientation="landscape" scale="93" r:id="rId1"/>
  <headerFooter alignWithMargins="0">
    <oddHeader>&amp;CThe University of Alabama in Huntsville
Unit Academic Reports 
</oddHeader>
    <oddFooter xml:space="preserve">&amp;L&amp;8Office of Institutional Research
&amp;D (ly)
&amp;F 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R75"/>
  <sheetViews>
    <sheetView workbookViewId="0" topLeftCell="A1">
      <selection activeCell="I10" sqref="I10"/>
    </sheetView>
  </sheetViews>
  <sheetFormatPr defaultColWidth="9.140625" defaultRowHeight="12.75" customHeight="1"/>
  <cols>
    <col min="1" max="1" width="20.7109375" style="2" customWidth="1"/>
    <col min="2" max="17" width="7.28125" style="2" customWidth="1"/>
    <col min="18" max="16384" width="9.140625" style="2" customWidth="1"/>
  </cols>
  <sheetData>
    <row r="1" ht="12.75" customHeight="1">
      <c r="A1" s="1" t="s">
        <v>36</v>
      </c>
    </row>
    <row r="3" spans="1:18" ht="12.75" customHeight="1">
      <c r="A3"/>
      <c r="B3" s="45" t="s">
        <v>1</v>
      </c>
      <c r="C3" s="46"/>
      <c r="D3" s="45" t="s">
        <v>2</v>
      </c>
      <c r="E3" s="46"/>
      <c r="F3" s="45" t="s">
        <v>3</v>
      </c>
      <c r="G3" s="46"/>
      <c r="H3" s="45" t="s">
        <v>4</v>
      </c>
      <c r="I3" s="46"/>
      <c r="J3" s="45" t="s">
        <v>5</v>
      </c>
      <c r="K3" s="46"/>
      <c r="L3" s="45" t="s">
        <v>6</v>
      </c>
      <c r="M3" s="46"/>
      <c r="N3" s="105" t="s">
        <v>45</v>
      </c>
      <c r="O3" s="105"/>
      <c r="P3" s="45" t="s">
        <v>7</v>
      </c>
      <c r="Q3" s="46"/>
      <c r="R3" s="41" t="s">
        <v>8</v>
      </c>
    </row>
    <row r="4" spans="1:18" ht="12.75" customHeight="1">
      <c r="A4" s="6" t="s">
        <v>61</v>
      </c>
      <c r="B4" s="42" t="s">
        <v>9</v>
      </c>
      <c r="C4" s="43" t="s">
        <v>10</v>
      </c>
      <c r="D4" s="42" t="s">
        <v>9</v>
      </c>
      <c r="E4" s="43" t="s">
        <v>10</v>
      </c>
      <c r="F4" s="42" t="s">
        <v>9</v>
      </c>
      <c r="G4" s="43" t="s">
        <v>10</v>
      </c>
      <c r="H4" s="42" t="s">
        <v>9</v>
      </c>
      <c r="I4" s="43" t="s">
        <v>10</v>
      </c>
      <c r="J4" s="42" t="s">
        <v>9</v>
      </c>
      <c r="K4" s="43" t="s">
        <v>10</v>
      </c>
      <c r="L4" s="42" t="s">
        <v>9</v>
      </c>
      <c r="M4" s="43" t="s">
        <v>10</v>
      </c>
      <c r="N4" s="42" t="s">
        <v>9</v>
      </c>
      <c r="O4" s="43" t="s">
        <v>10</v>
      </c>
      <c r="P4" s="42" t="s">
        <v>9</v>
      </c>
      <c r="Q4" s="43" t="s">
        <v>10</v>
      </c>
      <c r="R4" s="44" t="s">
        <v>7</v>
      </c>
    </row>
    <row r="5" spans="1:18" ht="12.75" customHeight="1">
      <c r="A5"/>
      <c r="B5" s="3"/>
      <c r="C5" s="4"/>
      <c r="D5" s="3"/>
      <c r="E5" s="4"/>
      <c r="F5" s="3"/>
      <c r="G5" s="4"/>
      <c r="H5" s="3"/>
      <c r="I5" s="4"/>
      <c r="J5" s="3"/>
      <c r="K5" s="4"/>
      <c r="L5" s="3"/>
      <c r="M5" s="4"/>
      <c r="N5" s="106"/>
      <c r="O5" s="106"/>
      <c r="P5" s="3"/>
      <c r="Q5" s="4"/>
      <c r="R5" s="8"/>
    </row>
    <row r="6" spans="1:18" ht="12.75" customHeight="1">
      <c r="A6" s="15" t="s">
        <v>42</v>
      </c>
      <c r="B6" s="60">
        <v>0</v>
      </c>
      <c r="C6" s="61">
        <v>5</v>
      </c>
      <c r="D6" s="60">
        <v>0</v>
      </c>
      <c r="E6" s="61">
        <v>1</v>
      </c>
      <c r="F6" s="60">
        <v>0</v>
      </c>
      <c r="G6" s="61">
        <v>0</v>
      </c>
      <c r="H6" s="60">
        <v>0</v>
      </c>
      <c r="I6" s="61">
        <v>0</v>
      </c>
      <c r="J6" s="60">
        <v>0</v>
      </c>
      <c r="K6" s="61">
        <v>0</v>
      </c>
      <c r="L6" s="60">
        <v>0</v>
      </c>
      <c r="M6" s="61">
        <v>0</v>
      </c>
      <c r="N6" s="82">
        <v>0</v>
      </c>
      <c r="O6" s="82">
        <v>0</v>
      </c>
      <c r="P6" s="60">
        <f aca="true" t="shared" si="0" ref="P6:Q10">L6+J6+H6+F6+D6+B6</f>
        <v>0</v>
      </c>
      <c r="Q6" s="61">
        <f t="shared" si="0"/>
        <v>6</v>
      </c>
      <c r="R6" s="62">
        <f>Q6+P6</f>
        <v>6</v>
      </c>
    </row>
    <row r="7" spans="1:18" ht="12.75" customHeight="1">
      <c r="A7" s="15" t="s">
        <v>44</v>
      </c>
      <c r="B7" s="60">
        <v>2</v>
      </c>
      <c r="C7" s="61">
        <v>5</v>
      </c>
      <c r="D7" s="60">
        <v>0</v>
      </c>
      <c r="E7" s="61">
        <v>1</v>
      </c>
      <c r="F7" s="60">
        <v>0</v>
      </c>
      <c r="G7" s="61">
        <v>0</v>
      </c>
      <c r="H7" s="60">
        <v>0</v>
      </c>
      <c r="I7" s="61">
        <v>0</v>
      </c>
      <c r="J7" s="60">
        <v>0</v>
      </c>
      <c r="K7" s="61">
        <v>0</v>
      </c>
      <c r="L7" s="60">
        <v>0</v>
      </c>
      <c r="M7" s="61">
        <v>0</v>
      </c>
      <c r="N7" s="82">
        <v>0</v>
      </c>
      <c r="O7" s="82">
        <v>0</v>
      </c>
      <c r="P7" s="60">
        <f t="shared" si="0"/>
        <v>2</v>
      </c>
      <c r="Q7" s="61">
        <f t="shared" si="0"/>
        <v>6</v>
      </c>
      <c r="R7" s="62">
        <f>Q7+P7</f>
        <v>8</v>
      </c>
    </row>
    <row r="8" spans="1:18" ht="12.75" customHeight="1">
      <c r="A8" s="15" t="s">
        <v>48</v>
      </c>
      <c r="B8" s="60">
        <v>2</v>
      </c>
      <c r="C8" s="61">
        <v>3</v>
      </c>
      <c r="D8" s="60">
        <v>0</v>
      </c>
      <c r="E8" s="61">
        <v>0</v>
      </c>
      <c r="F8" s="60">
        <v>0</v>
      </c>
      <c r="G8" s="61">
        <v>0</v>
      </c>
      <c r="H8" s="60">
        <v>0</v>
      </c>
      <c r="I8" s="61">
        <v>0</v>
      </c>
      <c r="J8" s="60">
        <v>0</v>
      </c>
      <c r="K8" s="61">
        <v>0</v>
      </c>
      <c r="L8" s="60">
        <v>0</v>
      </c>
      <c r="M8" s="61">
        <v>0</v>
      </c>
      <c r="N8" s="82">
        <v>0</v>
      </c>
      <c r="O8" s="82">
        <v>0</v>
      </c>
      <c r="P8" s="60">
        <f t="shared" si="0"/>
        <v>2</v>
      </c>
      <c r="Q8" s="61">
        <f t="shared" si="0"/>
        <v>3</v>
      </c>
      <c r="R8" s="62">
        <f>Q8+P8</f>
        <v>5</v>
      </c>
    </row>
    <row r="9" spans="1:18" ht="12.75" customHeight="1">
      <c r="A9" s="15" t="s">
        <v>50</v>
      </c>
      <c r="B9" s="60">
        <v>1</v>
      </c>
      <c r="C9" s="61">
        <v>7</v>
      </c>
      <c r="D9" s="60">
        <v>0</v>
      </c>
      <c r="E9" s="61">
        <v>4</v>
      </c>
      <c r="F9" s="60">
        <v>0</v>
      </c>
      <c r="G9" s="61">
        <v>0</v>
      </c>
      <c r="H9" s="60">
        <v>0</v>
      </c>
      <c r="I9" s="61">
        <v>0</v>
      </c>
      <c r="J9" s="60">
        <v>0</v>
      </c>
      <c r="K9" s="61">
        <v>0</v>
      </c>
      <c r="L9" s="60">
        <v>0</v>
      </c>
      <c r="M9" s="61">
        <v>0</v>
      </c>
      <c r="N9" s="82">
        <v>0</v>
      </c>
      <c r="O9" s="82">
        <v>0</v>
      </c>
      <c r="P9" s="60">
        <f t="shared" si="0"/>
        <v>1</v>
      </c>
      <c r="Q9" s="61">
        <f t="shared" si="0"/>
        <v>11</v>
      </c>
      <c r="R9" s="62">
        <f>Q9+P9</f>
        <v>12</v>
      </c>
    </row>
    <row r="10" spans="1:18" ht="12.75" customHeight="1">
      <c r="A10" s="15" t="s">
        <v>57</v>
      </c>
      <c r="B10" s="60">
        <v>0</v>
      </c>
      <c r="C10" s="61">
        <v>8</v>
      </c>
      <c r="D10" s="60">
        <v>0</v>
      </c>
      <c r="E10" s="61">
        <v>1</v>
      </c>
      <c r="F10" s="60">
        <v>0</v>
      </c>
      <c r="G10" s="61">
        <v>0</v>
      </c>
      <c r="H10" s="60">
        <v>0</v>
      </c>
      <c r="I10" s="61">
        <v>1</v>
      </c>
      <c r="J10" s="60">
        <v>0</v>
      </c>
      <c r="K10" s="61">
        <v>0</v>
      </c>
      <c r="L10" s="60">
        <v>0</v>
      </c>
      <c r="M10" s="61">
        <v>0</v>
      </c>
      <c r="N10" s="82">
        <v>0</v>
      </c>
      <c r="O10" s="82">
        <v>0</v>
      </c>
      <c r="P10" s="60">
        <f t="shared" si="0"/>
        <v>0</v>
      </c>
      <c r="Q10" s="61">
        <f t="shared" si="0"/>
        <v>10</v>
      </c>
      <c r="R10" s="62">
        <f>Q10+P10</f>
        <v>10</v>
      </c>
    </row>
    <row r="11" spans="2:18" ht="12.75" customHeight="1">
      <c r="B11" s="9"/>
      <c r="C11" s="10"/>
      <c r="D11" s="9"/>
      <c r="E11" s="10"/>
      <c r="F11" s="9"/>
      <c r="G11" s="10"/>
      <c r="H11" s="9"/>
      <c r="I11" s="10"/>
      <c r="J11" s="9"/>
      <c r="K11" s="10"/>
      <c r="L11" s="9"/>
      <c r="M11" s="10"/>
      <c r="N11" s="20"/>
      <c r="O11" s="20"/>
      <c r="P11" s="9"/>
      <c r="Q11" s="10"/>
      <c r="R11" s="11"/>
    </row>
    <row r="13" ht="12.75" customHeight="1">
      <c r="A13" s="6" t="s">
        <v>13</v>
      </c>
    </row>
    <row r="14" spans="1:18" ht="12.75" customHeight="1">
      <c r="A14" s="6" t="s">
        <v>11</v>
      </c>
      <c r="B14" s="45" t="s">
        <v>1</v>
      </c>
      <c r="C14" s="46"/>
      <c r="D14" s="45" t="s">
        <v>2</v>
      </c>
      <c r="E14" s="46"/>
      <c r="F14" s="45" t="s">
        <v>3</v>
      </c>
      <c r="G14" s="46"/>
      <c r="H14" s="45" t="s">
        <v>4</v>
      </c>
      <c r="I14" s="46"/>
      <c r="J14" s="45" t="s">
        <v>5</v>
      </c>
      <c r="K14" s="46"/>
      <c r="L14" s="45" t="s">
        <v>6</v>
      </c>
      <c r="M14" s="46"/>
      <c r="N14" s="105" t="s">
        <v>45</v>
      </c>
      <c r="O14" s="105"/>
      <c r="P14" s="45" t="s">
        <v>7</v>
      </c>
      <c r="Q14" s="46"/>
      <c r="R14" s="41" t="s">
        <v>8</v>
      </c>
    </row>
    <row r="15" spans="1:18" ht="12.75" customHeight="1">
      <c r="A15" s="6" t="s">
        <v>12</v>
      </c>
      <c r="B15" s="42" t="s">
        <v>9</v>
      </c>
      <c r="C15" s="43" t="s">
        <v>10</v>
      </c>
      <c r="D15" s="42" t="s">
        <v>9</v>
      </c>
      <c r="E15" s="43" t="s">
        <v>10</v>
      </c>
      <c r="F15" s="42" t="s">
        <v>9</v>
      </c>
      <c r="G15" s="43" t="s">
        <v>10</v>
      </c>
      <c r="H15" s="42" t="s">
        <v>9</v>
      </c>
      <c r="I15" s="43" t="s">
        <v>10</v>
      </c>
      <c r="J15" s="42" t="s">
        <v>9</v>
      </c>
      <c r="K15" s="43" t="s">
        <v>10</v>
      </c>
      <c r="L15" s="42" t="s">
        <v>9</v>
      </c>
      <c r="M15" s="43" t="s">
        <v>10</v>
      </c>
      <c r="N15" s="42" t="s">
        <v>9</v>
      </c>
      <c r="O15" s="43" t="s">
        <v>10</v>
      </c>
      <c r="P15" s="42" t="s">
        <v>9</v>
      </c>
      <c r="Q15" s="43" t="s">
        <v>10</v>
      </c>
      <c r="R15" s="44" t="s">
        <v>7</v>
      </c>
    </row>
    <row r="16" spans="1:18" ht="12.75" customHeight="1">
      <c r="A16" s="6"/>
      <c r="B16" s="12"/>
      <c r="C16" s="13"/>
      <c r="D16" s="12"/>
      <c r="E16" s="13"/>
      <c r="F16" s="12"/>
      <c r="G16" s="13"/>
      <c r="H16" s="12"/>
      <c r="I16" s="13"/>
      <c r="J16" s="12"/>
      <c r="K16" s="13"/>
      <c r="L16" s="12"/>
      <c r="M16" s="22"/>
      <c r="N16" s="106"/>
      <c r="O16" s="106"/>
      <c r="P16" s="12"/>
      <c r="Q16" s="13"/>
      <c r="R16" s="14"/>
    </row>
    <row r="17" spans="1:18" s="16" customFormat="1" ht="12.75" customHeight="1">
      <c r="A17" s="15" t="s">
        <v>42</v>
      </c>
      <c r="B17" s="60">
        <v>5</v>
      </c>
      <c r="C17" s="82">
        <v>20</v>
      </c>
      <c r="D17" s="60">
        <v>1</v>
      </c>
      <c r="E17" s="82">
        <v>5</v>
      </c>
      <c r="F17" s="60">
        <v>0</v>
      </c>
      <c r="G17" s="82">
        <v>0</v>
      </c>
      <c r="H17" s="60">
        <v>0</v>
      </c>
      <c r="I17" s="82">
        <v>0</v>
      </c>
      <c r="J17" s="60">
        <v>0</v>
      </c>
      <c r="K17" s="82">
        <v>0</v>
      </c>
      <c r="L17" s="60">
        <v>0</v>
      </c>
      <c r="M17" s="61">
        <v>0</v>
      </c>
      <c r="N17" s="82">
        <v>0</v>
      </c>
      <c r="O17" s="82">
        <v>0</v>
      </c>
      <c r="P17" s="60">
        <f aca="true" t="shared" si="1" ref="P17:Q19">L17+J17+H17+F17+D17+B17</f>
        <v>6</v>
      </c>
      <c r="Q17" s="82">
        <f t="shared" si="1"/>
        <v>25</v>
      </c>
      <c r="R17" s="62">
        <f>Q17+P17</f>
        <v>31</v>
      </c>
    </row>
    <row r="18" spans="1:18" s="16" customFormat="1" ht="12.75" customHeight="1">
      <c r="A18" s="15" t="s">
        <v>44</v>
      </c>
      <c r="B18" s="60">
        <v>5</v>
      </c>
      <c r="C18" s="82">
        <v>18</v>
      </c>
      <c r="D18" s="60">
        <v>0</v>
      </c>
      <c r="E18" s="82">
        <v>6</v>
      </c>
      <c r="F18" s="60">
        <v>0</v>
      </c>
      <c r="G18" s="82">
        <v>0</v>
      </c>
      <c r="H18" s="60">
        <v>0</v>
      </c>
      <c r="I18" s="82">
        <v>0</v>
      </c>
      <c r="J18" s="60">
        <v>0</v>
      </c>
      <c r="K18" s="82">
        <v>0</v>
      </c>
      <c r="L18" s="60">
        <v>0</v>
      </c>
      <c r="M18" s="61">
        <v>1</v>
      </c>
      <c r="N18" s="82">
        <v>0</v>
      </c>
      <c r="O18" s="82">
        <v>0</v>
      </c>
      <c r="P18" s="60">
        <f t="shared" si="1"/>
        <v>5</v>
      </c>
      <c r="Q18" s="82">
        <f t="shared" si="1"/>
        <v>25</v>
      </c>
      <c r="R18" s="62">
        <f>Q18+P18</f>
        <v>30</v>
      </c>
    </row>
    <row r="19" spans="1:18" s="16" customFormat="1" ht="12.75" customHeight="1">
      <c r="A19" s="15" t="s">
        <v>48</v>
      </c>
      <c r="B19" s="60">
        <v>6</v>
      </c>
      <c r="C19" s="82">
        <v>22</v>
      </c>
      <c r="D19" s="60">
        <v>0</v>
      </c>
      <c r="E19" s="82">
        <v>9</v>
      </c>
      <c r="F19" s="60">
        <v>0</v>
      </c>
      <c r="G19" s="82">
        <v>0</v>
      </c>
      <c r="H19" s="60">
        <v>0</v>
      </c>
      <c r="I19" s="82">
        <v>1</v>
      </c>
      <c r="J19" s="60">
        <v>1</v>
      </c>
      <c r="K19" s="82">
        <v>1</v>
      </c>
      <c r="L19" s="60">
        <v>0</v>
      </c>
      <c r="M19" s="61">
        <v>2</v>
      </c>
      <c r="N19" s="82">
        <v>0</v>
      </c>
      <c r="O19" s="82">
        <v>0</v>
      </c>
      <c r="P19" s="60">
        <f t="shared" si="1"/>
        <v>7</v>
      </c>
      <c r="Q19" s="82">
        <f t="shared" si="1"/>
        <v>35</v>
      </c>
      <c r="R19" s="62">
        <f>Q19+P19</f>
        <v>42</v>
      </c>
    </row>
    <row r="20" spans="1:18" s="16" customFormat="1" ht="12.75" customHeight="1">
      <c r="A20" s="15" t="s">
        <v>50</v>
      </c>
      <c r="B20" s="60">
        <v>5</v>
      </c>
      <c r="C20" s="82">
        <v>24</v>
      </c>
      <c r="D20" s="60">
        <v>0</v>
      </c>
      <c r="E20" s="82">
        <v>5</v>
      </c>
      <c r="F20" s="60">
        <v>0</v>
      </c>
      <c r="G20" s="82">
        <v>0</v>
      </c>
      <c r="H20" s="60">
        <v>0</v>
      </c>
      <c r="I20" s="82">
        <v>1</v>
      </c>
      <c r="J20" s="60">
        <v>0</v>
      </c>
      <c r="K20" s="82">
        <v>0</v>
      </c>
      <c r="L20" s="60">
        <v>0</v>
      </c>
      <c r="M20" s="61">
        <v>1</v>
      </c>
      <c r="N20" s="82">
        <v>1</v>
      </c>
      <c r="O20" s="82">
        <v>0</v>
      </c>
      <c r="P20" s="60">
        <f>L20+J20+H20+F20+D20+B20+N20</f>
        <v>6</v>
      </c>
      <c r="Q20" s="82">
        <f>M20+K20+I20+G20+E20+C20+O20</f>
        <v>31</v>
      </c>
      <c r="R20" s="62">
        <f>Q20+P20</f>
        <v>37</v>
      </c>
    </row>
    <row r="21" spans="1:18" s="16" customFormat="1" ht="12.75" customHeight="1">
      <c r="A21" s="15" t="s">
        <v>57</v>
      </c>
      <c r="B21" s="60">
        <v>4</v>
      </c>
      <c r="C21" s="82">
        <v>25</v>
      </c>
      <c r="D21" s="60">
        <v>3</v>
      </c>
      <c r="E21" s="82">
        <v>6</v>
      </c>
      <c r="F21" s="60">
        <v>0</v>
      </c>
      <c r="G21" s="82">
        <v>0</v>
      </c>
      <c r="H21" s="60">
        <v>1</v>
      </c>
      <c r="I21" s="82">
        <v>1</v>
      </c>
      <c r="J21" s="60">
        <v>0</v>
      </c>
      <c r="K21" s="82">
        <v>0</v>
      </c>
      <c r="L21" s="60">
        <v>0</v>
      </c>
      <c r="M21" s="61">
        <v>1</v>
      </c>
      <c r="N21" s="82">
        <v>1</v>
      </c>
      <c r="O21" s="82">
        <v>2</v>
      </c>
      <c r="P21" s="60">
        <f>L21+J21+H21+F21+D21+B21+N21</f>
        <v>9</v>
      </c>
      <c r="Q21" s="82">
        <f>M21+K21+I21+G21+E21+C21+O21</f>
        <v>35</v>
      </c>
      <c r="R21" s="62">
        <f>Q21+P21</f>
        <v>44</v>
      </c>
    </row>
    <row r="22" spans="2:18" ht="12.75" customHeight="1">
      <c r="B22" s="9"/>
      <c r="C22" s="20"/>
      <c r="D22" s="9"/>
      <c r="E22" s="20"/>
      <c r="F22" s="9"/>
      <c r="G22" s="20"/>
      <c r="H22" s="9"/>
      <c r="I22" s="20"/>
      <c r="J22" s="9"/>
      <c r="K22" s="20"/>
      <c r="L22" s="9"/>
      <c r="M22" s="10"/>
      <c r="N22" s="20"/>
      <c r="O22" s="20"/>
      <c r="P22" s="9"/>
      <c r="Q22" s="20"/>
      <c r="R22" s="11"/>
    </row>
    <row r="24" ht="12.75" customHeight="1">
      <c r="A24" s="35"/>
    </row>
    <row r="25" spans="1:2" ht="12.75" customHeight="1">
      <c r="A25" s="35"/>
      <c r="B25" s="35"/>
    </row>
    <row r="26" spans="1:15" ht="12.75" customHeight="1">
      <c r="A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</row>
    <row r="33" spans="1:18" s="16" customFormat="1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65" spans="1:18" s="16" customFormat="1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75" spans="1:18" s="16" customFormat="1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</sheetData>
  <printOptions horizontalCentered="1"/>
  <pageMargins left="0.25" right="0.25" top="1" bottom="0.75" header="0.5" footer="0.25"/>
  <pageSetup fitToHeight="1" fitToWidth="1" horizontalDpi="300" verticalDpi="300" orientation="landscape" scale="93" r:id="rId1"/>
  <headerFooter alignWithMargins="0">
    <oddHeader>&amp;CThe University of Alabama in Huntsville
Unit Academic Reports 
</oddHeader>
    <oddFooter xml:space="preserve">&amp;L&amp;8Office of Institutional Research
&amp;D (ly)
&amp;F 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46">
    <pageSetUpPr fitToPage="1"/>
  </sheetPr>
  <dimension ref="A1:M62"/>
  <sheetViews>
    <sheetView workbookViewId="0" topLeftCell="A4">
      <selection activeCell="D10" sqref="D10"/>
    </sheetView>
  </sheetViews>
  <sheetFormatPr defaultColWidth="9.140625" defaultRowHeight="12.75" customHeight="1"/>
  <cols>
    <col min="1" max="1" width="22.7109375" style="35" customWidth="1"/>
    <col min="2" max="8" width="13.7109375" style="2" customWidth="1"/>
    <col min="9" max="16384" width="9.140625" style="2" customWidth="1"/>
  </cols>
  <sheetData>
    <row r="1" spans="1:8" ht="12.75" customHeight="1">
      <c r="A1" s="1" t="s">
        <v>36</v>
      </c>
      <c r="B1" s="16"/>
      <c r="C1" s="16"/>
      <c r="D1" s="16"/>
      <c r="E1" s="16"/>
      <c r="F1"/>
      <c r="G1"/>
      <c r="H1"/>
    </row>
    <row r="2" spans="1:8" ht="12.75" customHeight="1">
      <c r="A2" s="6"/>
      <c r="F2"/>
      <c r="G2"/>
      <c r="H2"/>
    </row>
    <row r="3" spans="1:7" ht="12.75" customHeight="1">
      <c r="A3" s="6" t="s">
        <v>13</v>
      </c>
      <c r="E3"/>
      <c r="F3"/>
      <c r="G3"/>
    </row>
    <row r="4" spans="1:4" s="38" customFormat="1" ht="12.75" customHeight="1">
      <c r="A4" s="39" t="s">
        <v>11</v>
      </c>
      <c r="B4" s="47" t="s">
        <v>16</v>
      </c>
      <c r="C4" s="47" t="s">
        <v>14</v>
      </c>
      <c r="D4" s="47" t="s">
        <v>15</v>
      </c>
    </row>
    <row r="5" spans="2:7" ht="12.75" customHeight="1">
      <c r="B5" s="8"/>
      <c r="C5" s="8"/>
      <c r="D5" s="8"/>
      <c r="E5"/>
      <c r="F5"/>
      <c r="G5"/>
    </row>
    <row r="6" spans="1:7" s="16" customFormat="1" ht="12.75" customHeight="1">
      <c r="A6" s="6" t="s">
        <v>42</v>
      </c>
      <c r="B6" s="14">
        <v>13</v>
      </c>
      <c r="C6" s="14">
        <f>SOC!R17</f>
        <v>31</v>
      </c>
      <c r="D6" s="14">
        <v>35</v>
      </c>
      <c r="E6" s="26"/>
      <c r="F6" s="26"/>
      <c r="G6" s="26"/>
    </row>
    <row r="7" spans="1:7" s="16" customFormat="1" ht="12.75" customHeight="1">
      <c r="A7" s="6" t="s">
        <v>44</v>
      </c>
      <c r="B7" s="14">
        <v>18</v>
      </c>
      <c r="C7" s="14">
        <f>SOC!R18</f>
        <v>30</v>
      </c>
      <c r="D7" s="14">
        <v>38</v>
      </c>
      <c r="E7" s="26"/>
      <c r="F7" s="26"/>
      <c r="G7" s="26"/>
    </row>
    <row r="8" spans="1:7" s="16" customFormat="1" ht="12.75" customHeight="1">
      <c r="A8" s="6" t="s">
        <v>48</v>
      </c>
      <c r="B8" s="14">
        <v>14</v>
      </c>
      <c r="C8" s="14">
        <f>SOC!R19</f>
        <v>42</v>
      </c>
      <c r="D8" s="14">
        <v>32</v>
      </c>
      <c r="E8" s="26"/>
      <c r="F8" s="26"/>
      <c r="G8" s="26"/>
    </row>
    <row r="9" spans="1:7" s="16" customFormat="1" ht="12.75" customHeight="1">
      <c r="A9" s="6" t="s">
        <v>50</v>
      </c>
      <c r="B9" s="14">
        <v>13</v>
      </c>
      <c r="C9" s="14">
        <f>SOC!R20</f>
        <v>37</v>
      </c>
      <c r="D9" s="14">
        <v>34</v>
      </c>
      <c r="E9" s="26"/>
      <c r="F9" s="26"/>
      <c r="G9" s="26"/>
    </row>
    <row r="10" spans="1:7" s="16" customFormat="1" ht="12.75" customHeight="1">
      <c r="A10" s="15" t="s">
        <v>57</v>
      </c>
      <c r="B10" s="14">
        <v>11</v>
      </c>
      <c r="C10" s="14">
        <f>SOC!R21</f>
        <v>44</v>
      </c>
      <c r="D10" s="14">
        <v>39</v>
      </c>
      <c r="E10" s="26"/>
      <c r="F10" s="26"/>
      <c r="G10" s="26"/>
    </row>
    <row r="11" spans="1:7" ht="12.75" customHeight="1">
      <c r="A11" s="6"/>
      <c r="B11" s="7"/>
      <c r="C11" s="7"/>
      <c r="D11" s="7"/>
      <c r="E11"/>
      <c r="F11"/>
      <c r="G11"/>
    </row>
    <row r="12" spans="6:8" ht="12.75" customHeight="1">
      <c r="F12"/>
      <c r="G12"/>
      <c r="H12"/>
    </row>
    <row r="13" spans="1:8" s="38" customFormat="1" ht="12.75" customHeight="1">
      <c r="A13" s="39" t="s">
        <v>56</v>
      </c>
      <c r="B13" s="48" t="s">
        <v>13</v>
      </c>
      <c r="C13" s="48" t="s">
        <v>13</v>
      </c>
      <c r="D13" s="48" t="s">
        <v>7</v>
      </c>
      <c r="E13" s="48" t="s">
        <v>17</v>
      </c>
      <c r="F13" s="48" t="s">
        <v>17</v>
      </c>
      <c r="G13" s="49" t="s">
        <v>7</v>
      </c>
      <c r="H13" s="49" t="s">
        <v>8</v>
      </c>
    </row>
    <row r="14" spans="1:8" s="38" customFormat="1" ht="12.75" customHeight="1">
      <c r="A14" s="39"/>
      <c r="B14" s="50" t="s">
        <v>18</v>
      </c>
      <c r="C14" s="50" t="s">
        <v>19</v>
      </c>
      <c r="D14" s="50" t="s">
        <v>13</v>
      </c>
      <c r="E14" s="50" t="s">
        <v>20</v>
      </c>
      <c r="F14" s="50" t="s">
        <v>21</v>
      </c>
      <c r="G14" s="51" t="s">
        <v>17</v>
      </c>
      <c r="H14" s="51" t="s">
        <v>7</v>
      </c>
    </row>
    <row r="15" spans="2:8" ht="12.75" customHeight="1">
      <c r="B15" s="3"/>
      <c r="C15" s="3"/>
      <c r="D15" s="3"/>
      <c r="E15" s="3"/>
      <c r="F15" s="3"/>
      <c r="G15" s="3"/>
      <c r="H15" s="8"/>
    </row>
    <row r="16" spans="1:8" ht="12.75" customHeight="1">
      <c r="A16" s="6" t="s">
        <v>42</v>
      </c>
      <c r="B16" s="74">
        <v>1815</v>
      </c>
      <c r="C16" s="74">
        <v>756</v>
      </c>
      <c r="D16" s="74">
        <f>C16+B16</f>
        <v>2571</v>
      </c>
      <c r="E16" s="74">
        <v>0</v>
      </c>
      <c r="F16" s="74">
        <v>0</v>
      </c>
      <c r="G16" s="74">
        <f>F16+E16</f>
        <v>0</v>
      </c>
      <c r="H16" s="75">
        <f>G16+D16</f>
        <v>2571</v>
      </c>
    </row>
    <row r="17" spans="1:8" ht="12.75" customHeight="1">
      <c r="A17" s="6" t="s">
        <v>44</v>
      </c>
      <c r="B17" s="74">
        <v>2169</v>
      </c>
      <c r="C17" s="74">
        <v>817</v>
      </c>
      <c r="D17" s="74">
        <f>C17+B17</f>
        <v>2986</v>
      </c>
      <c r="E17" s="74">
        <v>0</v>
      </c>
      <c r="F17" s="74">
        <v>0</v>
      </c>
      <c r="G17" s="74">
        <f>F17+E17</f>
        <v>0</v>
      </c>
      <c r="H17" s="75">
        <f>G17+D17</f>
        <v>2986</v>
      </c>
    </row>
    <row r="18" spans="1:8" ht="12.75" customHeight="1">
      <c r="A18" s="6" t="s">
        <v>48</v>
      </c>
      <c r="B18" s="74">
        <v>2256</v>
      </c>
      <c r="C18" s="74">
        <v>859</v>
      </c>
      <c r="D18" s="74">
        <f>C18+B18</f>
        <v>3115</v>
      </c>
      <c r="E18" s="74">
        <v>0</v>
      </c>
      <c r="F18" s="74">
        <v>0</v>
      </c>
      <c r="G18" s="74">
        <f>F18+E18</f>
        <v>0</v>
      </c>
      <c r="H18" s="75">
        <f>G18+D18</f>
        <v>3115</v>
      </c>
    </row>
    <row r="19" spans="1:8" ht="12.75" customHeight="1">
      <c r="A19" s="15" t="s">
        <v>50</v>
      </c>
      <c r="B19" s="74">
        <f>144+1203+1041</f>
        <v>2388</v>
      </c>
      <c r="C19" s="74">
        <f>24+429+413</f>
        <v>866</v>
      </c>
      <c r="D19" s="74">
        <f>C19+B19</f>
        <v>3254</v>
      </c>
      <c r="E19" s="74">
        <v>0</v>
      </c>
      <c r="F19" s="74">
        <v>0</v>
      </c>
      <c r="G19" s="74">
        <f>F19+E19</f>
        <v>0</v>
      </c>
      <c r="H19" s="75">
        <f>G19+D19</f>
        <v>3254</v>
      </c>
    </row>
    <row r="20" spans="1:8" ht="12.75" customHeight="1">
      <c r="A20" s="15" t="s">
        <v>57</v>
      </c>
      <c r="B20" s="74">
        <f>192+1113+885</f>
        <v>2190</v>
      </c>
      <c r="C20" s="74">
        <f>21+416+397</f>
        <v>834</v>
      </c>
      <c r="D20" s="74">
        <f>C20+B20</f>
        <v>3024</v>
      </c>
      <c r="E20" s="74">
        <v>0</v>
      </c>
      <c r="F20" s="74">
        <v>0</v>
      </c>
      <c r="G20" s="74">
        <f>F20+E20</f>
        <v>0</v>
      </c>
      <c r="H20" s="75">
        <f>G20+D20</f>
        <v>3024</v>
      </c>
    </row>
    <row r="21" spans="1:8" ht="12.75" customHeight="1">
      <c r="A21" s="36"/>
      <c r="B21" s="9"/>
      <c r="C21" s="9"/>
      <c r="D21" s="9"/>
      <c r="E21" s="9"/>
      <c r="F21" s="9"/>
      <c r="G21" s="9"/>
      <c r="H21" s="11"/>
    </row>
    <row r="22" spans="1:5" ht="12.75" customHeight="1">
      <c r="A22" s="36"/>
      <c r="B22"/>
      <c r="C22"/>
      <c r="D22"/>
      <c r="E22"/>
    </row>
    <row r="23" spans="1:8" s="38" customFormat="1" ht="12.75" customHeight="1">
      <c r="A23" s="39" t="s">
        <v>55</v>
      </c>
      <c r="B23" s="48" t="s">
        <v>13</v>
      </c>
      <c r="C23" s="48" t="s">
        <v>13</v>
      </c>
      <c r="D23" s="48" t="s">
        <v>7</v>
      </c>
      <c r="E23" s="48" t="s">
        <v>17</v>
      </c>
      <c r="F23" s="48" t="s">
        <v>22</v>
      </c>
      <c r="G23" s="48" t="s">
        <v>23</v>
      </c>
      <c r="H23" s="49" t="s">
        <v>8</v>
      </c>
    </row>
    <row r="24" spans="2:8" s="38" customFormat="1" ht="12.75" customHeight="1">
      <c r="B24" s="50" t="s">
        <v>18</v>
      </c>
      <c r="C24" s="50" t="s">
        <v>19</v>
      </c>
      <c r="D24" s="50" t="s">
        <v>13</v>
      </c>
      <c r="E24" s="50" t="s">
        <v>20</v>
      </c>
      <c r="F24" s="50" t="s">
        <v>21</v>
      </c>
      <c r="G24" s="50" t="s">
        <v>17</v>
      </c>
      <c r="H24" s="51" t="s">
        <v>7</v>
      </c>
    </row>
    <row r="25" spans="2:8" ht="12.75" customHeight="1">
      <c r="B25" s="12"/>
      <c r="C25" s="12"/>
      <c r="D25" s="12"/>
      <c r="E25" s="12"/>
      <c r="F25" s="12"/>
      <c r="G25" s="12"/>
      <c r="H25" s="14"/>
    </row>
    <row r="26" spans="1:8" ht="12.75" customHeight="1">
      <c r="A26" s="6" t="s">
        <v>42</v>
      </c>
      <c r="B26" s="24">
        <f>B16*0.85</f>
        <v>1542.75</v>
      </c>
      <c r="C26" s="24">
        <f>C16*1.15</f>
        <v>869.4</v>
      </c>
      <c r="D26" s="24">
        <f>C26+B26</f>
        <v>2412.15</v>
      </c>
      <c r="E26" s="24">
        <v>0</v>
      </c>
      <c r="F26" s="24">
        <v>0</v>
      </c>
      <c r="G26" s="24">
        <f>F26+E26</f>
        <v>0</v>
      </c>
      <c r="H26" s="25">
        <f>G26+D26</f>
        <v>2412.15</v>
      </c>
    </row>
    <row r="27" spans="1:8" ht="12.75" customHeight="1">
      <c r="A27" s="6" t="s">
        <v>44</v>
      </c>
      <c r="B27" s="24">
        <f>B17*0.85</f>
        <v>1843.6499999999999</v>
      </c>
      <c r="C27" s="24">
        <f>C17*1.15</f>
        <v>939.55</v>
      </c>
      <c r="D27" s="24">
        <f>C27+B27</f>
        <v>2783.2</v>
      </c>
      <c r="E27" s="24">
        <v>0</v>
      </c>
      <c r="F27" s="24">
        <v>0</v>
      </c>
      <c r="G27" s="24">
        <f>F27+E27</f>
        <v>0</v>
      </c>
      <c r="H27" s="25">
        <f>G27+D27</f>
        <v>2783.2</v>
      </c>
    </row>
    <row r="28" spans="1:8" ht="12.75" customHeight="1">
      <c r="A28" s="6" t="s">
        <v>48</v>
      </c>
      <c r="B28" s="24">
        <f>B18*0.85</f>
        <v>1917.6</v>
      </c>
      <c r="C28" s="24">
        <f>C18*1.15</f>
        <v>987.8499999999999</v>
      </c>
      <c r="D28" s="24">
        <f>C28+B28</f>
        <v>2905.45</v>
      </c>
      <c r="E28" s="24">
        <v>0</v>
      </c>
      <c r="F28" s="24">
        <v>0</v>
      </c>
      <c r="G28" s="24">
        <f>F28+E28</f>
        <v>0</v>
      </c>
      <c r="H28" s="25">
        <f>G28+D28</f>
        <v>2905.45</v>
      </c>
    </row>
    <row r="29" spans="1:8" ht="12.75" customHeight="1">
      <c r="A29" s="15" t="s">
        <v>50</v>
      </c>
      <c r="B29" s="24">
        <f>B19*0.85</f>
        <v>2029.8</v>
      </c>
      <c r="C29" s="24">
        <f>C19*1.15</f>
        <v>995.9</v>
      </c>
      <c r="D29" s="24">
        <f>C29+B29</f>
        <v>3025.7</v>
      </c>
      <c r="E29" s="24">
        <v>0</v>
      </c>
      <c r="F29" s="24">
        <v>0</v>
      </c>
      <c r="G29" s="24">
        <f>F29+E29</f>
        <v>0</v>
      </c>
      <c r="H29" s="25">
        <f>G29+D29</f>
        <v>3025.7</v>
      </c>
    </row>
    <row r="30" spans="1:8" ht="12.75" customHeight="1">
      <c r="A30" s="15" t="s">
        <v>57</v>
      </c>
      <c r="B30" s="24">
        <f>B20*0.85</f>
        <v>1861.5</v>
      </c>
      <c r="C30" s="24">
        <f>C20*1.15</f>
        <v>959.0999999999999</v>
      </c>
      <c r="D30" s="24">
        <f>C30+B30</f>
        <v>2820.6</v>
      </c>
      <c r="E30" s="24">
        <v>0</v>
      </c>
      <c r="F30" s="24">
        <v>0</v>
      </c>
      <c r="G30" s="24">
        <f>F30+E30</f>
        <v>0</v>
      </c>
      <c r="H30" s="25">
        <f>G30+D30</f>
        <v>2820.6</v>
      </c>
    </row>
    <row r="31" spans="1:8" ht="12.75" customHeight="1">
      <c r="A31" s="36"/>
      <c r="B31" s="9"/>
      <c r="C31" s="9"/>
      <c r="D31" s="9"/>
      <c r="E31" s="9"/>
      <c r="F31" s="9"/>
      <c r="G31" s="9"/>
      <c r="H31" s="11"/>
    </row>
    <row r="32" ht="12.75" customHeight="1">
      <c r="A32" s="36"/>
    </row>
    <row r="33" ht="12.75" customHeight="1">
      <c r="A33" s="95" t="s">
        <v>58</v>
      </c>
    </row>
    <row r="34" ht="12.75" customHeight="1"/>
    <row r="35" ht="12.75" customHeight="1"/>
    <row r="41" spans="1:13" s="16" customFormat="1" ht="12.75" customHeight="1">
      <c r="A41" s="3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53" spans="1:13" s="16" customFormat="1" ht="12.75" customHeight="1">
      <c r="A53" s="35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62" spans="1:13" s="16" customFormat="1" ht="12.75" customHeight="1">
      <c r="A62" s="35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 xml:space="preserve">&amp;L&amp;8Office of Institutional Research
&amp;D (ly)
&amp;F 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47">
    <pageSetUpPr fitToPage="1"/>
  </sheetPr>
  <dimension ref="A1:H24"/>
  <sheetViews>
    <sheetView workbookViewId="0" topLeftCell="A1">
      <selection activeCell="B11" sqref="B11"/>
    </sheetView>
  </sheetViews>
  <sheetFormatPr defaultColWidth="9.140625" defaultRowHeight="12.75" customHeight="1"/>
  <cols>
    <col min="1" max="1" width="22.7109375" style="36" customWidth="1"/>
    <col min="2" max="8" width="13.7109375" style="0" customWidth="1"/>
  </cols>
  <sheetData>
    <row r="1" spans="1:5" ht="12.75" customHeight="1">
      <c r="A1" s="18" t="s">
        <v>46</v>
      </c>
      <c r="B1" s="16"/>
      <c r="C1" s="16"/>
      <c r="D1" s="16"/>
      <c r="E1" s="16"/>
    </row>
    <row r="2" spans="1:5" ht="12.75" customHeight="1">
      <c r="A2" s="35"/>
      <c r="B2" s="2"/>
      <c r="C2" s="2"/>
      <c r="D2" s="2"/>
      <c r="E2" s="2"/>
    </row>
    <row r="3" spans="1:8" s="38" customFormat="1" ht="12.75" customHeight="1">
      <c r="A3" s="39" t="s">
        <v>56</v>
      </c>
      <c r="B3" s="48" t="s">
        <v>13</v>
      </c>
      <c r="C3" s="48" t="s">
        <v>13</v>
      </c>
      <c r="D3" s="48" t="s">
        <v>7</v>
      </c>
      <c r="E3" s="49" t="s">
        <v>17</v>
      </c>
      <c r="F3" s="48" t="s">
        <v>17</v>
      </c>
      <c r="G3" s="49" t="s">
        <v>7</v>
      </c>
      <c r="H3" s="49" t="s">
        <v>8</v>
      </c>
    </row>
    <row r="4" spans="1:8" s="38" customFormat="1" ht="12.75" customHeight="1">
      <c r="A4" s="39"/>
      <c r="B4" s="50" t="s">
        <v>18</v>
      </c>
      <c r="C4" s="50" t="s">
        <v>19</v>
      </c>
      <c r="D4" s="50" t="s">
        <v>13</v>
      </c>
      <c r="E4" s="51" t="s">
        <v>20</v>
      </c>
      <c r="F4" s="50" t="s">
        <v>21</v>
      </c>
      <c r="G4" s="51" t="s">
        <v>17</v>
      </c>
      <c r="H4" s="51" t="s">
        <v>7</v>
      </c>
    </row>
    <row r="5" spans="1:8" ht="12.75" customHeight="1">
      <c r="A5" s="35"/>
      <c r="B5" s="3"/>
      <c r="C5" s="3"/>
      <c r="D5" s="3"/>
      <c r="E5" s="8"/>
      <c r="F5" s="3"/>
      <c r="G5" s="3"/>
      <c r="H5" s="8"/>
    </row>
    <row r="6" spans="1:8" ht="12.75" customHeight="1">
      <c r="A6" s="6" t="s">
        <v>42</v>
      </c>
      <c r="B6" s="74">
        <f>39+3</f>
        <v>42</v>
      </c>
      <c r="C6" s="74">
        <v>0</v>
      </c>
      <c r="D6" s="74">
        <f>C6+B6</f>
        <v>42</v>
      </c>
      <c r="E6" s="75">
        <v>0</v>
      </c>
      <c r="F6" s="74">
        <v>0</v>
      </c>
      <c r="G6" s="74">
        <f>F6+E6</f>
        <v>0</v>
      </c>
      <c r="H6" s="75">
        <f>G6+D6</f>
        <v>42</v>
      </c>
    </row>
    <row r="7" spans="1:8" ht="12.75" customHeight="1">
      <c r="A7" s="6" t="s">
        <v>44</v>
      </c>
      <c r="B7" s="74">
        <v>138</v>
      </c>
      <c r="C7" s="74">
        <v>0</v>
      </c>
      <c r="D7" s="74">
        <f>C7+B7</f>
        <v>138</v>
      </c>
      <c r="E7" s="75">
        <v>0</v>
      </c>
      <c r="F7" s="74">
        <v>0</v>
      </c>
      <c r="G7" s="74">
        <f>F7+E7</f>
        <v>0</v>
      </c>
      <c r="H7" s="75">
        <f>G7+D7</f>
        <v>138</v>
      </c>
    </row>
    <row r="8" spans="1:8" ht="12.75" customHeight="1">
      <c r="A8" s="6" t="s">
        <v>48</v>
      </c>
      <c r="B8" s="74">
        <v>180</v>
      </c>
      <c r="C8" s="74">
        <v>0</v>
      </c>
      <c r="D8" s="74">
        <f>C8+B8</f>
        <v>180</v>
      </c>
      <c r="E8" s="75">
        <v>0</v>
      </c>
      <c r="F8" s="74">
        <v>0</v>
      </c>
      <c r="G8" s="74">
        <f>F8+E8</f>
        <v>0</v>
      </c>
      <c r="H8" s="75">
        <f>G8+D8</f>
        <v>180</v>
      </c>
    </row>
    <row r="9" spans="1:8" ht="12.75" customHeight="1">
      <c r="A9" s="15" t="s">
        <v>50</v>
      </c>
      <c r="B9" s="74">
        <f>138+84</f>
        <v>222</v>
      </c>
      <c r="C9" s="74">
        <v>0</v>
      </c>
      <c r="D9" s="74">
        <f>C9+B9</f>
        <v>222</v>
      </c>
      <c r="E9" s="75">
        <v>0</v>
      </c>
      <c r="F9" s="74">
        <v>0</v>
      </c>
      <c r="G9" s="74">
        <f>F9+E9</f>
        <v>0</v>
      </c>
      <c r="H9" s="75">
        <f>G9+D9</f>
        <v>222</v>
      </c>
    </row>
    <row r="10" spans="1:8" ht="12.75" customHeight="1">
      <c r="A10" s="15" t="s">
        <v>57</v>
      </c>
      <c r="B10" s="74">
        <f>84+210</f>
        <v>294</v>
      </c>
      <c r="C10" s="74">
        <v>0</v>
      </c>
      <c r="D10" s="74">
        <f>C10+B10</f>
        <v>294</v>
      </c>
      <c r="E10" s="75">
        <v>0</v>
      </c>
      <c r="F10" s="74">
        <v>0</v>
      </c>
      <c r="G10" s="74">
        <f>F10+E10</f>
        <v>0</v>
      </c>
      <c r="H10" s="75">
        <f>G10+D10</f>
        <v>294</v>
      </c>
    </row>
    <row r="11" spans="2:8" ht="12.75" customHeight="1">
      <c r="B11" s="9"/>
      <c r="C11" s="9"/>
      <c r="D11" s="9"/>
      <c r="E11" s="11"/>
      <c r="F11" s="9"/>
      <c r="G11" s="9"/>
      <c r="H11" s="11"/>
    </row>
    <row r="12" spans="1:5" ht="12.75" customHeight="1">
      <c r="A12" s="35"/>
      <c r="B12" s="2"/>
      <c r="C12" s="2"/>
      <c r="D12" s="2"/>
      <c r="E12" s="2"/>
    </row>
    <row r="13" spans="1:8" s="38" customFormat="1" ht="12.75" customHeight="1">
      <c r="A13" s="39" t="s">
        <v>55</v>
      </c>
      <c r="B13" s="48" t="s">
        <v>13</v>
      </c>
      <c r="C13" s="48" t="s">
        <v>13</v>
      </c>
      <c r="D13" s="48" t="s">
        <v>7</v>
      </c>
      <c r="E13" s="49" t="s">
        <v>17</v>
      </c>
      <c r="F13" s="48" t="s">
        <v>17</v>
      </c>
      <c r="G13" s="49" t="s">
        <v>7</v>
      </c>
      <c r="H13" s="49" t="s">
        <v>8</v>
      </c>
    </row>
    <row r="14" spans="2:8" s="38" customFormat="1" ht="12.75" customHeight="1">
      <c r="B14" s="50" t="s">
        <v>18</v>
      </c>
      <c r="C14" s="50" t="s">
        <v>19</v>
      </c>
      <c r="D14" s="50" t="s">
        <v>13</v>
      </c>
      <c r="E14" s="51" t="s">
        <v>20</v>
      </c>
      <c r="F14" s="50" t="s">
        <v>21</v>
      </c>
      <c r="G14" s="51" t="s">
        <v>17</v>
      </c>
      <c r="H14" s="51" t="s">
        <v>7</v>
      </c>
    </row>
    <row r="15" spans="1:8" ht="12.75" customHeight="1">
      <c r="A15" s="35"/>
      <c r="B15" s="12"/>
      <c r="C15" s="12"/>
      <c r="D15" s="12"/>
      <c r="E15" s="14"/>
      <c r="F15" s="3"/>
      <c r="G15" s="3"/>
      <c r="H15" s="8"/>
    </row>
    <row r="16" spans="1:8" ht="12.75" customHeight="1">
      <c r="A16" s="6" t="s">
        <v>42</v>
      </c>
      <c r="B16" s="24">
        <f>B6*0.85</f>
        <v>35.699999999999996</v>
      </c>
      <c r="C16" s="24">
        <v>0</v>
      </c>
      <c r="D16" s="24">
        <f>C16+B16</f>
        <v>35.699999999999996</v>
      </c>
      <c r="E16" s="25">
        <v>0</v>
      </c>
      <c r="F16" s="27">
        <v>0</v>
      </c>
      <c r="G16" s="27">
        <v>0</v>
      </c>
      <c r="H16" s="28">
        <f>G16+D16</f>
        <v>35.699999999999996</v>
      </c>
    </row>
    <row r="17" spans="1:8" ht="12.75" customHeight="1">
      <c r="A17" s="6" t="s">
        <v>44</v>
      </c>
      <c r="B17" s="24">
        <f>B7*0.85</f>
        <v>117.3</v>
      </c>
      <c r="C17" s="24">
        <f>C7*1.15</f>
        <v>0</v>
      </c>
      <c r="D17" s="24">
        <f>C17+B17</f>
        <v>117.3</v>
      </c>
      <c r="E17" s="25">
        <v>0</v>
      </c>
      <c r="F17" s="27">
        <v>0</v>
      </c>
      <c r="G17" s="27">
        <v>0</v>
      </c>
      <c r="H17" s="28">
        <f>G17+D17</f>
        <v>117.3</v>
      </c>
    </row>
    <row r="18" spans="1:8" ht="12.75" customHeight="1">
      <c r="A18" s="6" t="s">
        <v>48</v>
      </c>
      <c r="B18" s="24">
        <f>B8*0.85</f>
        <v>153</v>
      </c>
      <c r="C18" s="24">
        <f>C8*1.15</f>
        <v>0</v>
      </c>
      <c r="D18" s="24">
        <f>C18+B18</f>
        <v>153</v>
      </c>
      <c r="E18" s="25">
        <v>0</v>
      </c>
      <c r="F18" s="27">
        <v>0</v>
      </c>
      <c r="G18" s="27">
        <v>0</v>
      </c>
      <c r="H18" s="28">
        <f>G18+D18</f>
        <v>153</v>
      </c>
    </row>
    <row r="19" spans="1:8" ht="12.75" customHeight="1">
      <c r="A19" s="15" t="s">
        <v>50</v>
      </c>
      <c r="B19" s="24">
        <f>B9*0.85</f>
        <v>188.7</v>
      </c>
      <c r="C19" s="24">
        <f>C9*1.15</f>
        <v>0</v>
      </c>
      <c r="D19" s="24">
        <f>C19+B19</f>
        <v>188.7</v>
      </c>
      <c r="E19" s="25">
        <v>0</v>
      </c>
      <c r="F19" s="27">
        <v>0</v>
      </c>
      <c r="G19" s="27">
        <v>0</v>
      </c>
      <c r="H19" s="28">
        <f>G19+D19</f>
        <v>188.7</v>
      </c>
    </row>
    <row r="20" spans="1:8" ht="12.75" customHeight="1">
      <c r="A20" s="15" t="s">
        <v>57</v>
      </c>
      <c r="B20" s="24">
        <f>B10*0.85</f>
        <v>249.9</v>
      </c>
      <c r="C20" s="24">
        <f>C10*1.15</f>
        <v>0</v>
      </c>
      <c r="D20" s="24">
        <f>C20+B20</f>
        <v>249.9</v>
      </c>
      <c r="E20" s="25">
        <v>0</v>
      </c>
      <c r="F20" s="27">
        <v>0</v>
      </c>
      <c r="G20" s="27">
        <v>0</v>
      </c>
      <c r="H20" s="28">
        <f>G20+D20</f>
        <v>249.9</v>
      </c>
    </row>
    <row r="21" spans="2:8" ht="12.75" customHeight="1">
      <c r="B21" s="9"/>
      <c r="C21" s="9"/>
      <c r="D21" s="9"/>
      <c r="E21" s="11"/>
      <c r="F21" s="9"/>
      <c r="G21" s="9"/>
      <c r="H21" s="11"/>
    </row>
    <row r="22" spans="1:5" ht="12.75" customHeight="1">
      <c r="A22" s="35"/>
      <c r="B22" s="2"/>
      <c r="C22" s="2"/>
      <c r="D22" s="2"/>
      <c r="E22" s="2"/>
    </row>
    <row r="23" spans="1:6" ht="12.75" customHeight="1">
      <c r="A23" s="95" t="s">
        <v>58</v>
      </c>
      <c r="B23" s="2"/>
      <c r="C23" s="2"/>
      <c r="D23" s="2"/>
      <c r="E23" s="2"/>
      <c r="F23" s="2"/>
    </row>
    <row r="24" spans="1:6" ht="12.75" customHeight="1">
      <c r="A24" s="35"/>
      <c r="B24" s="2"/>
      <c r="C24" s="2"/>
      <c r="D24" s="2"/>
      <c r="E24" s="2"/>
      <c r="F24" s="2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 xml:space="preserve">&amp;L&amp;8Office of Institutional Research
&amp;D (ly)
&amp;F 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workbookViewId="0" topLeftCell="A1">
      <selection activeCell="J20" sqref="J20"/>
    </sheetView>
  </sheetViews>
  <sheetFormatPr defaultColWidth="9.140625" defaultRowHeight="12.75"/>
  <cols>
    <col min="1" max="1" width="22.421875" style="0" customWidth="1"/>
    <col min="2" max="18" width="7.28125" style="0" customWidth="1"/>
  </cols>
  <sheetData>
    <row r="1" spans="1:5" ht="12.75">
      <c r="A1" s="88" t="s">
        <v>40</v>
      </c>
      <c r="B1" s="88"/>
      <c r="C1" s="88"/>
      <c r="D1" s="88"/>
      <c r="E1" s="88"/>
    </row>
    <row r="3" spans="1:4" ht="12.75">
      <c r="A3" s="6" t="s">
        <v>43</v>
      </c>
      <c r="B3" s="2"/>
      <c r="C3" s="2"/>
      <c r="D3" s="2"/>
    </row>
    <row r="4" spans="1:4" ht="12.75">
      <c r="A4" s="39" t="s">
        <v>11</v>
      </c>
      <c r="B4" s="47" t="s">
        <v>16</v>
      </c>
      <c r="C4" s="47" t="s">
        <v>14</v>
      </c>
      <c r="D4" s="47" t="s">
        <v>15</v>
      </c>
    </row>
    <row r="5" spans="1:4" ht="12.75">
      <c r="A5" s="35"/>
      <c r="B5" s="8"/>
      <c r="C5" s="8"/>
      <c r="D5" s="8"/>
    </row>
    <row r="6" spans="1:4" ht="12.75">
      <c r="A6" s="6" t="s">
        <v>42</v>
      </c>
      <c r="B6" s="102">
        <v>1</v>
      </c>
      <c r="C6" s="102">
        <f>+R27</f>
        <v>3</v>
      </c>
      <c r="D6" s="103">
        <v>2</v>
      </c>
    </row>
    <row r="7" spans="1:4" ht="12.75">
      <c r="A7" s="6" t="s">
        <v>44</v>
      </c>
      <c r="B7" s="102">
        <v>1</v>
      </c>
      <c r="C7" s="102">
        <f>+R28</f>
        <v>2</v>
      </c>
      <c r="D7" s="103">
        <v>1</v>
      </c>
    </row>
    <row r="8" spans="1:4" ht="12.75">
      <c r="A8" s="6" t="s">
        <v>48</v>
      </c>
      <c r="B8" s="102">
        <v>0</v>
      </c>
      <c r="C8" s="102">
        <f>+R29</f>
        <v>3</v>
      </c>
      <c r="D8" s="103">
        <v>2</v>
      </c>
    </row>
    <row r="9" spans="1:4" ht="12.75">
      <c r="A9" s="15" t="s">
        <v>50</v>
      </c>
      <c r="B9" s="102">
        <v>1</v>
      </c>
      <c r="C9" s="102">
        <f>+R30</f>
        <v>6</v>
      </c>
      <c r="D9" s="103">
        <v>7</v>
      </c>
    </row>
    <row r="10" spans="1:4" ht="12.75">
      <c r="A10" s="15" t="s">
        <v>57</v>
      </c>
      <c r="B10" s="102">
        <v>0</v>
      </c>
      <c r="C10" s="102">
        <f>+R31</f>
        <v>0</v>
      </c>
      <c r="D10" s="103">
        <v>3</v>
      </c>
    </row>
    <row r="11" spans="1:4" ht="12.75">
      <c r="A11" s="35"/>
      <c r="B11" s="9"/>
      <c r="C11" s="9"/>
      <c r="D11" s="11"/>
    </row>
    <row r="13" spans="1:18" ht="12.75">
      <c r="A13" s="6"/>
      <c r="B13" s="45" t="s">
        <v>1</v>
      </c>
      <c r="C13" s="46"/>
      <c r="D13" s="45" t="s">
        <v>2</v>
      </c>
      <c r="E13" s="46"/>
      <c r="F13" s="45" t="s">
        <v>3</v>
      </c>
      <c r="G13" s="46"/>
      <c r="H13" s="45" t="s">
        <v>4</v>
      </c>
      <c r="I13" s="46"/>
      <c r="J13" s="45" t="s">
        <v>5</v>
      </c>
      <c r="K13" s="46"/>
      <c r="L13" s="118" t="s">
        <v>6</v>
      </c>
      <c r="M13" s="119"/>
      <c r="N13" s="105" t="s">
        <v>45</v>
      </c>
      <c r="O13" s="105"/>
      <c r="P13" s="45" t="s">
        <v>7</v>
      </c>
      <c r="Q13" s="46"/>
      <c r="R13" s="41" t="s">
        <v>8</v>
      </c>
    </row>
    <row r="14" spans="1:18" ht="12.75">
      <c r="A14" s="6" t="s">
        <v>63</v>
      </c>
      <c r="B14" s="42" t="s">
        <v>9</v>
      </c>
      <c r="C14" s="43" t="s">
        <v>10</v>
      </c>
      <c r="D14" s="42" t="s">
        <v>9</v>
      </c>
      <c r="E14" s="43" t="s">
        <v>10</v>
      </c>
      <c r="F14" s="42" t="s">
        <v>9</v>
      </c>
      <c r="G14" s="43" t="s">
        <v>10</v>
      </c>
      <c r="H14" s="42" t="s">
        <v>9</v>
      </c>
      <c r="I14" s="43" t="s">
        <v>10</v>
      </c>
      <c r="J14" s="42" t="s">
        <v>9</v>
      </c>
      <c r="K14" s="43" t="s">
        <v>10</v>
      </c>
      <c r="L14" s="42" t="s">
        <v>9</v>
      </c>
      <c r="M14" s="43" t="s">
        <v>10</v>
      </c>
      <c r="N14" s="42" t="s">
        <v>9</v>
      </c>
      <c r="O14" s="43" t="s">
        <v>10</v>
      </c>
      <c r="P14" s="42" t="s">
        <v>9</v>
      </c>
      <c r="Q14" s="43" t="s">
        <v>10</v>
      </c>
      <c r="R14" s="44" t="s">
        <v>7</v>
      </c>
    </row>
    <row r="15" spans="1:18" ht="12.75">
      <c r="A15" s="6"/>
      <c r="B15" s="12"/>
      <c r="C15" s="13"/>
      <c r="D15" s="12"/>
      <c r="E15" s="13"/>
      <c r="F15" s="12"/>
      <c r="G15" s="13"/>
      <c r="H15" s="12"/>
      <c r="I15" s="13"/>
      <c r="J15" s="12"/>
      <c r="K15" s="13"/>
      <c r="L15" s="12"/>
      <c r="M15" s="13"/>
      <c r="N15" s="106"/>
      <c r="O15" s="106"/>
      <c r="P15" s="12"/>
      <c r="Q15" s="13"/>
      <c r="R15" s="14"/>
    </row>
    <row r="16" spans="1:18" ht="12.75">
      <c r="A16" s="90" t="s">
        <v>42</v>
      </c>
      <c r="B16" s="108">
        <v>0</v>
      </c>
      <c r="C16" s="109">
        <v>0</v>
      </c>
      <c r="D16" s="108">
        <v>0</v>
      </c>
      <c r="E16" s="109">
        <v>1</v>
      </c>
      <c r="F16" s="108">
        <v>0</v>
      </c>
      <c r="G16" s="110">
        <v>0</v>
      </c>
      <c r="H16" s="108">
        <v>0</v>
      </c>
      <c r="I16" s="110">
        <v>0</v>
      </c>
      <c r="J16" s="108">
        <v>0</v>
      </c>
      <c r="K16" s="110">
        <v>0</v>
      </c>
      <c r="L16" s="108">
        <v>0</v>
      </c>
      <c r="M16" s="109">
        <v>0</v>
      </c>
      <c r="N16" s="82">
        <v>0</v>
      </c>
      <c r="O16" s="82">
        <v>0</v>
      </c>
      <c r="P16" s="108">
        <f aca="true" t="shared" si="0" ref="P16:Q20">SUM(L16,J16,H16,F16,D16,B16)</f>
        <v>0</v>
      </c>
      <c r="Q16" s="109">
        <f t="shared" si="0"/>
        <v>1</v>
      </c>
      <c r="R16" s="111">
        <f>SUM(Q16,P16)</f>
        <v>1</v>
      </c>
    </row>
    <row r="17" spans="1:18" ht="12.75">
      <c r="A17" s="6" t="s">
        <v>44</v>
      </c>
      <c r="B17" s="108">
        <v>0</v>
      </c>
      <c r="C17" s="109">
        <v>0</v>
      </c>
      <c r="D17" s="108">
        <v>0</v>
      </c>
      <c r="E17" s="109">
        <v>0</v>
      </c>
      <c r="F17" s="108">
        <v>0</v>
      </c>
      <c r="G17" s="110">
        <v>0</v>
      </c>
      <c r="H17" s="108">
        <v>0</v>
      </c>
      <c r="I17" s="110">
        <v>0</v>
      </c>
      <c r="J17" s="108">
        <v>0</v>
      </c>
      <c r="K17" s="110">
        <v>0</v>
      </c>
      <c r="L17" s="108">
        <v>0</v>
      </c>
      <c r="M17" s="109">
        <v>0</v>
      </c>
      <c r="N17" s="82">
        <v>0</v>
      </c>
      <c r="O17" s="82">
        <v>0</v>
      </c>
      <c r="P17" s="108">
        <f t="shared" si="0"/>
        <v>0</v>
      </c>
      <c r="Q17" s="109">
        <f t="shared" si="0"/>
        <v>0</v>
      </c>
      <c r="R17" s="111">
        <f>SUM(Q17,P17)</f>
        <v>0</v>
      </c>
    </row>
    <row r="18" spans="1:18" ht="12.75">
      <c r="A18" s="6" t="s">
        <v>48</v>
      </c>
      <c r="B18" s="108">
        <v>1</v>
      </c>
      <c r="C18" s="109">
        <v>2</v>
      </c>
      <c r="D18" s="108">
        <v>0</v>
      </c>
      <c r="E18" s="109">
        <v>0</v>
      </c>
      <c r="F18" s="108">
        <v>0</v>
      </c>
      <c r="G18" s="110">
        <v>0</v>
      </c>
      <c r="H18" s="108">
        <v>0</v>
      </c>
      <c r="I18" s="110">
        <v>0</v>
      </c>
      <c r="J18" s="108">
        <v>0</v>
      </c>
      <c r="K18" s="110">
        <v>0</v>
      </c>
      <c r="L18" s="108">
        <v>0</v>
      </c>
      <c r="M18" s="109">
        <v>0</v>
      </c>
      <c r="N18" s="82">
        <v>0</v>
      </c>
      <c r="O18" s="82">
        <v>0</v>
      </c>
      <c r="P18" s="108">
        <f t="shared" si="0"/>
        <v>1</v>
      </c>
      <c r="Q18" s="109">
        <f t="shared" si="0"/>
        <v>2</v>
      </c>
      <c r="R18" s="111">
        <f>SUM(Q18,P18)</f>
        <v>3</v>
      </c>
    </row>
    <row r="19" spans="1:18" ht="12.75">
      <c r="A19" s="15" t="s">
        <v>50</v>
      </c>
      <c r="B19" s="108">
        <v>0</v>
      </c>
      <c r="C19" s="109">
        <v>14</v>
      </c>
      <c r="D19" s="108">
        <v>0</v>
      </c>
      <c r="E19" s="109">
        <v>0</v>
      </c>
      <c r="F19" s="108">
        <v>0</v>
      </c>
      <c r="G19" s="110">
        <v>0</v>
      </c>
      <c r="H19" s="108">
        <v>0</v>
      </c>
      <c r="I19" s="110">
        <v>0</v>
      </c>
      <c r="J19" s="108">
        <v>0</v>
      </c>
      <c r="K19" s="110">
        <v>0</v>
      </c>
      <c r="L19" s="108">
        <v>0</v>
      </c>
      <c r="M19" s="109">
        <v>0</v>
      </c>
      <c r="N19" s="82">
        <v>0</v>
      </c>
      <c r="O19" s="82">
        <v>0</v>
      </c>
      <c r="P19" s="108">
        <f t="shared" si="0"/>
        <v>0</v>
      </c>
      <c r="Q19" s="109">
        <f t="shared" si="0"/>
        <v>14</v>
      </c>
      <c r="R19" s="111">
        <f>SUM(Q19,P19)</f>
        <v>14</v>
      </c>
    </row>
    <row r="20" spans="1:18" ht="12.75">
      <c r="A20" s="15" t="s">
        <v>57</v>
      </c>
      <c r="B20" s="108">
        <v>1</v>
      </c>
      <c r="C20" s="109">
        <v>2</v>
      </c>
      <c r="D20" s="108">
        <v>0</v>
      </c>
      <c r="E20" s="109">
        <v>0</v>
      </c>
      <c r="F20" s="108">
        <v>0</v>
      </c>
      <c r="G20" s="110">
        <v>1</v>
      </c>
      <c r="H20" s="108">
        <v>0</v>
      </c>
      <c r="I20" s="110">
        <v>1</v>
      </c>
      <c r="J20" s="108">
        <v>0</v>
      </c>
      <c r="K20" s="110">
        <v>0</v>
      </c>
      <c r="L20" s="108">
        <v>0</v>
      </c>
      <c r="M20" s="109">
        <v>0</v>
      </c>
      <c r="N20" s="82">
        <v>0</v>
      </c>
      <c r="O20" s="82">
        <v>0</v>
      </c>
      <c r="P20" s="108">
        <f t="shared" si="0"/>
        <v>1</v>
      </c>
      <c r="Q20" s="109">
        <f t="shared" si="0"/>
        <v>4</v>
      </c>
      <c r="R20" s="111">
        <f>SUM(Q20,P20)</f>
        <v>5</v>
      </c>
    </row>
    <row r="21" spans="1:18" ht="12.75">
      <c r="A21" s="2"/>
      <c r="B21" s="9"/>
      <c r="C21" s="10"/>
      <c r="D21" s="9"/>
      <c r="E21" s="10"/>
      <c r="F21" s="9"/>
      <c r="G21" s="10"/>
      <c r="H21" s="9"/>
      <c r="I21" s="10"/>
      <c r="J21" s="9"/>
      <c r="K21" s="10"/>
      <c r="L21" s="9"/>
      <c r="M21" s="10"/>
      <c r="N21" s="20"/>
      <c r="O21" s="20"/>
      <c r="P21" s="9"/>
      <c r="Q21" s="10"/>
      <c r="R21" s="11"/>
    </row>
    <row r="23" spans="1:18" ht="12.75">
      <c r="A23" s="6" t="s">
        <v>43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2.75">
      <c r="A24" s="6" t="s">
        <v>11</v>
      </c>
      <c r="B24" s="45" t="s">
        <v>1</v>
      </c>
      <c r="C24" s="46"/>
      <c r="D24" s="45" t="s">
        <v>2</v>
      </c>
      <c r="E24" s="46"/>
      <c r="F24" s="45" t="s">
        <v>3</v>
      </c>
      <c r="G24" s="46"/>
      <c r="H24" s="45" t="s">
        <v>4</v>
      </c>
      <c r="I24" s="46"/>
      <c r="J24" s="45" t="s">
        <v>5</v>
      </c>
      <c r="K24" s="46"/>
      <c r="L24" s="118" t="s">
        <v>6</v>
      </c>
      <c r="M24" s="119"/>
      <c r="N24" s="105" t="s">
        <v>45</v>
      </c>
      <c r="O24" s="105"/>
      <c r="P24" s="45" t="s">
        <v>7</v>
      </c>
      <c r="Q24" s="46"/>
      <c r="R24" s="41" t="s">
        <v>8</v>
      </c>
    </row>
    <row r="25" spans="1:18" ht="12.75">
      <c r="A25" s="6" t="s">
        <v>12</v>
      </c>
      <c r="B25" s="42" t="s">
        <v>9</v>
      </c>
      <c r="C25" s="43" t="s">
        <v>10</v>
      </c>
      <c r="D25" s="42" t="s">
        <v>9</v>
      </c>
      <c r="E25" s="43" t="s">
        <v>10</v>
      </c>
      <c r="F25" s="42" t="s">
        <v>9</v>
      </c>
      <c r="G25" s="43" t="s">
        <v>10</v>
      </c>
      <c r="H25" s="42" t="s">
        <v>9</v>
      </c>
      <c r="I25" s="43" t="s">
        <v>10</v>
      </c>
      <c r="J25" s="42" t="s">
        <v>9</v>
      </c>
      <c r="K25" s="43" t="s">
        <v>10</v>
      </c>
      <c r="L25" s="42" t="s">
        <v>9</v>
      </c>
      <c r="M25" s="43" t="s">
        <v>10</v>
      </c>
      <c r="N25" s="42" t="s">
        <v>9</v>
      </c>
      <c r="O25" s="43" t="s">
        <v>10</v>
      </c>
      <c r="P25" s="42" t="s">
        <v>9</v>
      </c>
      <c r="Q25" s="43" t="s">
        <v>10</v>
      </c>
      <c r="R25" s="44" t="s">
        <v>7</v>
      </c>
    </row>
    <row r="26" spans="1:18" ht="12.75">
      <c r="A26" s="6"/>
      <c r="B26" s="12"/>
      <c r="C26" s="13"/>
      <c r="D26" s="12"/>
      <c r="E26" s="13"/>
      <c r="F26" s="12"/>
      <c r="G26" s="13"/>
      <c r="H26" s="12"/>
      <c r="I26" s="13"/>
      <c r="J26" s="12"/>
      <c r="K26" s="13"/>
      <c r="L26" s="12"/>
      <c r="M26" s="13"/>
      <c r="N26" s="106"/>
      <c r="O26" s="106"/>
      <c r="P26" s="12"/>
      <c r="Q26" s="13"/>
      <c r="R26" s="14"/>
    </row>
    <row r="27" spans="1:18" ht="12.75">
      <c r="A27" s="90" t="s">
        <v>42</v>
      </c>
      <c r="B27" s="60">
        <v>0</v>
      </c>
      <c r="C27" s="61">
        <v>2</v>
      </c>
      <c r="D27" s="60">
        <v>0</v>
      </c>
      <c r="E27" s="61">
        <v>0</v>
      </c>
      <c r="F27" s="60">
        <v>0</v>
      </c>
      <c r="G27" s="61">
        <v>0</v>
      </c>
      <c r="H27" s="60">
        <v>0</v>
      </c>
      <c r="I27" s="61">
        <v>0</v>
      </c>
      <c r="J27" s="60">
        <v>0</v>
      </c>
      <c r="K27" s="61">
        <v>0</v>
      </c>
      <c r="L27" s="60">
        <v>0</v>
      </c>
      <c r="M27" s="61">
        <v>1</v>
      </c>
      <c r="N27" s="82">
        <v>0</v>
      </c>
      <c r="O27" s="82">
        <v>0</v>
      </c>
      <c r="P27" s="60">
        <f aca="true" t="shared" si="1" ref="P27:Q31">SUM(L27,J27,H27,F27,D27,B27)</f>
        <v>0</v>
      </c>
      <c r="Q27" s="61">
        <f t="shared" si="1"/>
        <v>3</v>
      </c>
      <c r="R27" s="62">
        <f>SUM(Q27,P27)</f>
        <v>3</v>
      </c>
    </row>
    <row r="28" spans="1:18" ht="12.75">
      <c r="A28" s="6" t="s">
        <v>44</v>
      </c>
      <c r="B28" s="60">
        <v>0</v>
      </c>
      <c r="C28" s="61">
        <v>2</v>
      </c>
      <c r="D28" s="60">
        <v>0</v>
      </c>
      <c r="E28" s="61">
        <v>0</v>
      </c>
      <c r="F28" s="60">
        <v>0</v>
      </c>
      <c r="G28" s="61">
        <v>0</v>
      </c>
      <c r="H28" s="60">
        <v>0</v>
      </c>
      <c r="I28" s="61">
        <v>0</v>
      </c>
      <c r="J28" s="60">
        <v>0</v>
      </c>
      <c r="K28" s="61">
        <v>0</v>
      </c>
      <c r="L28" s="60">
        <v>0</v>
      </c>
      <c r="M28" s="61">
        <v>0</v>
      </c>
      <c r="N28" s="82">
        <v>0</v>
      </c>
      <c r="O28" s="82">
        <v>0</v>
      </c>
      <c r="P28" s="60">
        <f t="shared" si="1"/>
        <v>0</v>
      </c>
      <c r="Q28" s="61">
        <f t="shared" si="1"/>
        <v>2</v>
      </c>
      <c r="R28" s="62">
        <f>SUM(Q28,P28)</f>
        <v>2</v>
      </c>
    </row>
    <row r="29" spans="1:18" ht="12.75">
      <c r="A29" s="6" t="s">
        <v>48</v>
      </c>
      <c r="B29" s="60">
        <v>0</v>
      </c>
      <c r="C29" s="61">
        <v>2</v>
      </c>
      <c r="D29" s="60">
        <v>0</v>
      </c>
      <c r="E29" s="61">
        <v>1</v>
      </c>
      <c r="F29" s="60">
        <v>0</v>
      </c>
      <c r="G29" s="61">
        <v>0</v>
      </c>
      <c r="H29" s="60">
        <v>0</v>
      </c>
      <c r="I29" s="61">
        <v>0</v>
      </c>
      <c r="J29" s="60">
        <v>0</v>
      </c>
      <c r="K29" s="61">
        <v>0</v>
      </c>
      <c r="L29" s="60">
        <v>0</v>
      </c>
      <c r="M29" s="61">
        <v>0</v>
      </c>
      <c r="N29" s="82">
        <v>0</v>
      </c>
      <c r="O29" s="82">
        <v>0</v>
      </c>
      <c r="P29" s="60">
        <f t="shared" si="1"/>
        <v>0</v>
      </c>
      <c r="Q29" s="61">
        <f t="shared" si="1"/>
        <v>3</v>
      </c>
      <c r="R29" s="62">
        <f>SUM(Q29,P29)</f>
        <v>3</v>
      </c>
    </row>
    <row r="30" spans="1:18" ht="12.75">
      <c r="A30" s="15" t="s">
        <v>50</v>
      </c>
      <c r="B30" s="60">
        <v>0</v>
      </c>
      <c r="C30" s="61">
        <v>4</v>
      </c>
      <c r="D30" s="60">
        <v>0</v>
      </c>
      <c r="E30" s="61">
        <v>1</v>
      </c>
      <c r="F30" s="60">
        <v>0</v>
      </c>
      <c r="G30" s="61">
        <v>0</v>
      </c>
      <c r="H30" s="60">
        <v>0</v>
      </c>
      <c r="I30" s="61">
        <v>1</v>
      </c>
      <c r="J30" s="60">
        <v>0</v>
      </c>
      <c r="K30" s="61">
        <v>0</v>
      </c>
      <c r="L30" s="60">
        <v>0</v>
      </c>
      <c r="M30" s="61">
        <v>0</v>
      </c>
      <c r="N30" s="82">
        <v>0</v>
      </c>
      <c r="O30" s="82">
        <v>0</v>
      </c>
      <c r="P30" s="60">
        <f t="shared" si="1"/>
        <v>0</v>
      </c>
      <c r="Q30" s="61">
        <f t="shared" si="1"/>
        <v>6</v>
      </c>
      <c r="R30" s="62">
        <f>SUM(Q30,P30)</f>
        <v>6</v>
      </c>
    </row>
    <row r="31" spans="1:18" ht="12.75">
      <c r="A31" s="15" t="s">
        <v>57</v>
      </c>
      <c r="B31" s="60">
        <v>0</v>
      </c>
      <c r="C31" s="61">
        <v>0</v>
      </c>
      <c r="D31" s="60">
        <v>0</v>
      </c>
      <c r="E31" s="61">
        <v>0</v>
      </c>
      <c r="F31" s="60">
        <v>0</v>
      </c>
      <c r="G31" s="61">
        <v>0</v>
      </c>
      <c r="H31" s="60">
        <v>0</v>
      </c>
      <c r="I31" s="61">
        <v>0</v>
      </c>
      <c r="J31" s="60">
        <v>0</v>
      </c>
      <c r="K31" s="61">
        <v>0</v>
      </c>
      <c r="L31" s="60">
        <v>0</v>
      </c>
      <c r="M31" s="61">
        <v>0</v>
      </c>
      <c r="N31" s="82">
        <v>0</v>
      </c>
      <c r="O31" s="82">
        <v>0</v>
      </c>
      <c r="P31" s="60">
        <f t="shared" si="1"/>
        <v>0</v>
      </c>
      <c r="Q31" s="61">
        <f t="shared" si="1"/>
        <v>0</v>
      </c>
      <c r="R31" s="62">
        <f>SUM(Q31,P31)</f>
        <v>0</v>
      </c>
    </row>
    <row r="32" spans="1:18" ht="12.75">
      <c r="A32" s="2"/>
      <c r="B32" s="9"/>
      <c r="C32" s="10"/>
      <c r="D32" s="9"/>
      <c r="E32" s="10"/>
      <c r="F32" s="9"/>
      <c r="G32" s="10"/>
      <c r="H32" s="9"/>
      <c r="I32" s="10"/>
      <c r="J32" s="9"/>
      <c r="K32" s="10"/>
      <c r="L32" s="9"/>
      <c r="M32" s="10"/>
      <c r="N32" s="20"/>
      <c r="O32" s="20"/>
      <c r="P32" s="9"/>
      <c r="Q32" s="10"/>
      <c r="R32" s="11"/>
    </row>
    <row r="35" spans="1:15" ht="12.75">
      <c r="A35" s="35"/>
      <c r="B35" s="35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</row>
  </sheetData>
  <mergeCells count="2">
    <mergeCell ref="L24:M24"/>
    <mergeCell ref="L13:M13"/>
  </mergeCells>
  <printOptions horizontalCentered="1"/>
  <pageMargins left="0.25" right="0.25" top="1" bottom="0.75" header="0.5" footer="0.25"/>
  <pageSetup fitToHeight="1" fitToWidth="1" horizontalDpi="300" verticalDpi="300" orientation="landscape" scale="93" r:id="rId1"/>
  <headerFooter alignWithMargins="0">
    <oddHeader>&amp;CThe University of Alabama in Huntsville
Unit Academic Reports 
</oddHeader>
    <oddFooter xml:space="preserve">&amp;L&amp;8Office of Institutional Research
&amp;D (ly)
&amp;F 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50">
    <pageSetUpPr fitToPage="1"/>
  </sheetPr>
  <dimension ref="A1:H24"/>
  <sheetViews>
    <sheetView workbookViewId="0" topLeftCell="A1">
      <selection activeCell="D10" sqref="D10"/>
    </sheetView>
  </sheetViews>
  <sheetFormatPr defaultColWidth="9.140625" defaultRowHeight="12.75" customHeight="1"/>
  <cols>
    <col min="1" max="1" width="22.7109375" style="36" customWidth="1"/>
    <col min="2" max="8" width="13.7109375" style="0" customWidth="1"/>
  </cols>
  <sheetData>
    <row r="1" spans="1:5" ht="12.75" customHeight="1">
      <c r="A1" s="18" t="s">
        <v>37</v>
      </c>
      <c r="B1" s="16"/>
      <c r="C1" s="16"/>
      <c r="D1" s="16"/>
      <c r="E1" s="16"/>
    </row>
    <row r="2" spans="1:5" ht="12.75" customHeight="1">
      <c r="A2" s="35"/>
      <c r="B2" s="2"/>
      <c r="C2" s="2"/>
      <c r="D2" s="2"/>
      <c r="E2" s="2"/>
    </row>
    <row r="3" spans="1:8" s="38" customFormat="1" ht="12.75" customHeight="1">
      <c r="A3" s="39" t="s">
        <v>56</v>
      </c>
      <c r="B3" s="48" t="s">
        <v>13</v>
      </c>
      <c r="C3" s="48" t="s">
        <v>13</v>
      </c>
      <c r="D3" s="48" t="s">
        <v>7</v>
      </c>
      <c r="E3" s="49" t="s">
        <v>17</v>
      </c>
      <c r="F3" s="48" t="s">
        <v>17</v>
      </c>
      <c r="G3" s="49" t="s">
        <v>7</v>
      </c>
      <c r="H3" s="49" t="s">
        <v>8</v>
      </c>
    </row>
    <row r="4" spans="1:8" s="38" customFormat="1" ht="12.75" customHeight="1">
      <c r="A4" s="39"/>
      <c r="B4" s="50" t="s">
        <v>18</v>
      </c>
      <c r="C4" s="50" t="s">
        <v>19</v>
      </c>
      <c r="D4" s="50" t="s">
        <v>13</v>
      </c>
      <c r="E4" s="51" t="s">
        <v>20</v>
      </c>
      <c r="F4" s="50" t="s">
        <v>21</v>
      </c>
      <c r="G4" s="51" t="s">
        <v>17</v>
      </c>
      <c r="H4" s="51" t="s">
        <v>7</v>
      </c>
    </row>
    <row r="5" spans="1:8" ht="12.75" customHeight="1">
      <c r="A5" s="35"/>
      <c r="B5" s="3"/>
      <c r="C5" s="3"/>
      <c r="D5" s="3"/>
      <c r="E5" s="8"/>
      <c r="F5" s="3"/>
      <c r="G5" s="3"/>
      <c r="H5" s="8"/>
    </row>
    <row r="6" spans="1:8" ht="12.75" customHeight="1">
      <c r="A6" s="6" t="s">
        <v>42</v>
      </c>
      <c r="B6" s="74">
        <v>87</v>
      </c>
      <c r="C6" s="74">
        <v>0</v>
      </c>
      <c r="D6" s="74">
        <f>C6+B6</f>
        <v>87</v>
      </c>
      <c r="E6" s="75">
        <v>0</v>
      </c>
      <c r="F6" s="74">
        <v>0</v>
      </c>
      <c r="G6" s="74">
        <f>F6+E6</f>
        <v>0</v>
      </c>
      <c r="H6" s="75">
        <f>G6+D6</f>
        <v>87</v>
      </c>
    </row>
    <row r="7" spans="1:8" ht="12.75" customHeight="1">
      <c r="A7" s="6" t="s">
        <v>44</v>
      </c>
      <c r="B7" s="74">
        <v>99</v>
      </c>
      <c r="C7" s="74">
        <v>3</v>
      </c>
      <c r="D7" s="74">
        <f>C7+B7</f>
        <v>102</v>
      </c>
      <c r="E7" s="75">
        <v>0</v>
      </c>
      <c r="F7" s="74">
        <v>0</v>
      </c>
      <c r="G7" s="74">
        <f>F7+E7</f>
        <v>0</v>
      </c>
      <c r="H7" s="75">
        <f>G7+D7</f>
        <v>102</v>
      </c>
    </row>
    <row r="8" spans="1:8" ht="12.75" customHeight="1">
      <c r="A8" s="6" t="s">
        <v>48</v>
      </c>
      <c r="B8" s="74">
        <v>93</v>
      </c>
      <c r="C8" s="74">
        <v>15</v>
      </c>
      <c r="D8" s="74">
        <f>C8+B8</f>
        <v>108</v>
      </c>
      <c r="E8" s="75">
        <v>0</v>
      </c>
      <c r="F8" s="74">
        <v>0</v>
      </c>
      <c r="G8" s="74">
        <f>F8+E8</f>
        <v>0</v>
      </c>
      <c r="H8" s="75">
        <f>G8+D8</f>
        <v>108</v>
      </c>
    </row>
    <row r="9" spans="1:8" ht="12.75" customHeight="1">
      <c r="A9" s="15" t="s">
        <v>50</v>
      </c>
      <c r="B9" s="74">
        <f>84+87</f>
        <v>171</v>
      </c>
      <c r="C9" s="74">
        <f>3+3</f>
        <v>6</v>
      </c>
      <c r="D9" s="74">
        <f>C9+B9</f>
        <v>177</v>
      </c>
      <c r="E9" s="75">
        <v>0</v>
      </c>
      <c r="F9" s="74">
        <v>0</v>
      </c>
      <c r="G9" s="74">
        <f>F9+E9</f>
        <v>0</v>
      </c>
      <c r="H9" s="75">
        <f>G9+D9</f>
        <v>177</v>
      </c>
    </row>
    <row r="10" spans="1:8" ht="12.75" customHeight="1">
      <c r="A10" s="15" t="s">
        <v>57</v>
      </c>
      <c r="B10" s="74">
        <f>72</f>
        <v>72</v>
      </c>
      <c r="C10" s="74">
        <v>3</v>
      </c>
      <c r="D10" s="74">
        <f>C10+B10</f>
        <v>75</v>
      </c>
      <c r="E10" s="75">
        <v>0</v>
      </c>
      <c r="F10" s="74">
        <v>0</v>
      </c>
      <c r="G10" s="74">
        <f>F10+E10</f>
        <v>0</v>
      </c>
      <c r="H10" s="75">
        <f>G10+D10</f>
        <v>75</v>
      </c>
    </row>
    <row r="11" spans="2:8" ht="12.75" customHeight="1">
      <c r="B11" s="9"/>
      <c r="C11" s="9"/>
      <c r="D11" s="9"/>
      <c r="E11" s="11"/>
      <c r="F11" s="9"/>
      <c r="G11" s="9"/>
      <c r="H11" s="11"/>
    </row>
    <row r="12" spans="1:5" ht="12.75" customHeight="1">
      <c r="A12" s="35"/>
      <c r="B12" s="2"/>
      <c r="C12" s="2"/>
      <c r="D12" s="2"/>
      <c r="E12" s="2"/>
    </row>
    <row r="13" spans="1:8" s="38" customFormat="1" ht="12.75" customHeight="1">
      <c r="A13" s="39" t="s">
        <v>55</v>
      </c>
      <c r="B13" s="48" t="s">
        <v>13</v>
      </c>
      <c r="C13" s="48" t="s">
        <v>13</v>
      </c>
      <c r="D13" s="48" t="s">
        <v>7</v>
      </c>
      <c r="E13" s="49" t="s">
        <v>17</v>
      </c>
      <c r="F13" s="48" t="s">
        <v>17</v>
      </c>
      <c r="G13" s="49" t="s">
        <v>7</v>
      </c>
      <c r="H13" s="49" t="s">
        <v>8</v>
      </c>
    </row>
    <row r="14" spans="2:8" s="38" customFormat="1" ht="12.75" customHeight="1">
      <c r="B14" s="50" t="s">
        <v>18</v>
      </c>
      <c r="C14" s="50" t="s">
        <v>19</v>
      </c>
      <c r="D14" s="50" t="s">
        <v>13</v>
      </c>
      <c r="E14" s="51" t="s">
        <v>20</v>
      </c>
      <c r="F14" s="50" t="s">
        <v>21</v>
      </c>
      <c r="G14" s="51" t="s">
        <v>17</v>
      </c>
      <c r="H14" s="51" t="s">
        <v>7</v>
      </c>
    </row>
    <row r="15" spans="1:8" ht="12.75" customHeight="1">
      <c r="A15" s="35"/>
      <c r="B15" s="12"/>
      <c r="C15" s="12"/>
      <c r="D15" s="12"/>
      <c r="E15" s="14"/>
      <c r="F15" s="3"/>
      <c r="G15" s="3"/>
      <c r="H15" s="8"/>
    </row>
    <row r="16" spans="1:8" ht="12.75" customHeight="1">
      <c r="A16" s="6" t="s">
        <v>42</v>
      </c>
      <c r="B16" s="24">
        <f>B6*0.85</f>
        <v>73.95</v>
      </c>
      <c r="C16" s="24">
        <f>C6*1.15</f>
        <v>0</v>
      </c>
      <c r="D16" s="24">
        <f>C16+B16</f>
        <v>73.95</v>
      </c>
      <c r="E16" s="25">
        <v>0</v>
      </c>
      <c r="F16" s="27">
        <v>0</v>
      </c>
      <c r="G16" s="27">
        <f>F16+E16</f>
        <v>0</v>
      </c>
      <c r="H16" s="28">
        <f>G16+D16</f>
        <v>73.95</v>
      </c>
    </row>
    <row r="17" spans="1:8" ht="12.75" customHeight="1">
      <c r="A17" s="6" t="s">
        <v>44</v>
      </c>
      <c r="B17" s="24">
        <f>B7*0.85</f>
        <v>84.14999999999999</v>
      </c>
      <c r="C17" s="24">
        <f>C7*1.15</f>
        <v>3.4499999999999997</v>
      </c>
      <c r="D17" s="24">
        <f>C17+B17</f>
        <v>87.6</v>
      </c>
      <c r="E17" s="25">
        <v>0</v>
      </c>
      <c r="F17" s="27">
        <v>0</v>
      </c>
      <c r="G17" s="27">
        <f>F17+E17</f>
        <v>0</v>
      </c>
      <c r="H17" s="28">
        <f>G17+D17</f>
        <v>87.6</v>
      </c>
    </row>
    <row r="18" spans="1:8" ht="12.75" customHeight="1">
      <c r="A18" s="6" t="s">
        <v>48</v>
      </c>
      <c r="B18" s="24">
        <f>B8*0.85</f>
        <v>79.05</v>
      </c>
      <c r="C18" s="24">
        <f>C8*1.15</f>
        <v>17.25</v>
      </c>
      <c r="D18" s="24">
        <f>C18+B18</f>
        <v>96.3</v>
      </c>
      <c r="E18" s="25">
        <v>0</v>
      </c>
      <c r="F18" s="27">
        <v>0</v>
      </c>
      <c r="G18" s="27">
        <f>F18+E18</f>
        <v>0</v>
      </c>
      <c r="H18" s="28">
        <f>G18+D18</f>
        <v>96.3</v>
      </c>
    </row>
    <row r="19" spans="1:8" ht="12.75" customHeight="1">
      <c r="A19" s="15" t="s">
        <v>50</v>
      </c>
      <c r="B19" s="24">
        <f>B9*0.85</f>
        <v>145.35</v>
      </c>
      <c r="C19" s="24">
        <f>C9*1.15</f>
        <v>6.8999999999999995</v>
      </c>
      <c r="D19" s="24">
        <f>C19+B19</f>
        <v>152.25</v>
      </c>
      <c r="E19" s="25">
        <v>0</v>
      </c>
      <c r="F19" s="27">
        <v>0</v>
      </c>
      <c r="G19" s="27">
        <f>F19+E19</f>
        <v>0</v>
      </c>
      <c r="H19" s="28">
        <f>G19+D19</f>
        <v>152.25</v>
      </c>
    </row>
    <row r="20" spans="1:8" ht="12.75" customHeight="1">
      <c r="A20" s="15" t="s">
        <v>57</v>
      </c>
      <c r="B20" s="24">
        <f>B10*0.85</f>
        <v>61.199999999999996</v>
      </c>
      <c r="C20" s="24">
        <f>C10*1.15</f>
        <v>3.4499999999999997</v>
      </c>
      <c r="D20" s="24">
        <f>C20+B20</f>
        <v>64.64999999999999</v>
      </c>
      <c r="E20" s="25">
        <v>0</v>
      </c>
      <c r="F20" s="27">
        <v>0</v>
      </c>
      <c r="G20" s="27">
        <f>F20+E20</f>
        <v>0</v>
      </c>
      <c r="H20" s="28">
        <f>G20+D20</f>
        <v>64.64999999999999</v>
      </c>
    </row>
    <row r="21" spans="2:8" ht="12.75" customHeight="1">
      <c r="B21" s="9"/>
      <c r="C21" s="9"/>
      <c r="D21" s="9"/>
      <c r="E21" s="11"/>
      <c r="F21" s="9"/>
      <c r="G21" s="9"/>
      <c r="H21" s="11"/>
    </row>
    <row r="22" spans="1:5" ht="12.75" customHeight="1">
      <c r="A22" s="35"/>
      <c r="B22" s="2"/>
      <c r="C22" s="2"/>
      <c r="D22" s="2"/>
      <c r="E22" s="2"/>
    </row>
    <row r="23" spans="1:6" ht="12.75" customHeight="1">
      <c r="A23" s="95" t="s">
        <v>58</v>
      </c>
      <c r="B23" s="2"/>
      <c r="C23" s="2"/>
      <c r="D23" s="2"/>
      <c r="E23" s="2"/>
      <c r="F23" s="2"/>
    </row>
    <row r="24" spans="1:6" ht="12.75" customHeight="1">
      <c r="A24" s="35"/>
      <c r="B24" s="2"/>
      <c r="C24" s="2"/>
      <c r="D24" s="2"/>
      <c r="E24" s="2"/>
      <c r="F24" s="2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 xml:space="preserve">&amp;L&amp;8Office of Institutional Research
&amp;D (ly)
&amp;F 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R52"/>
  <sheetViews>
    <sheetView workbookViewId="0" topLeftCell="A1">
      <selection activeCell="K20" sqref="K20"/>
    </sheetView>
  </sheetViews>
  <sheetFormatPr defaultColWidth="9.140625" defaultRowHeight="12.75" customHeight="1"/>
  <cols>
    <col min="1" max="1" width="20.7109375" style="2" customWidth="1"/>
    <col min="2" max="17" width="7.28125" style="2" customWidth="1"/>
    <col min="18" max="16384" width="9.140625" style="2" customWidth="1"/>
  </cols>
  <sheetData>
    <row r="1" ht="12.75" customHeight="1">
      <c r="A1" s="1" t="s">
        <v>38</v>
      </c>
    </row>
    <row r="3" ht="12.75" customHeight="1">
      <c r="A3" s="6" t="s">
        <v>13</v>
      </c>
    </row>
    <row r="4" spans="1:18" ht="12.75" customHeight="1">
      <c r="A4" s="6" t="s">
        <v>11</v>
      </c>
      <c r="B4" s="45" t="s">
        <v>1</v>
      </c>
      <c r="C4" s="46"/>
      <c r="D4" s="45" t="s">
        <v>2</v>
      </c>
      <c r="E4" s="46"/>
      <c r="F4" s="45" t="s">
        <v>3</v>
      </c>
      <c r="G4" s="46"/>
      <c r="H4" s="45" t="s">
        <v>4</v>
      </c>
      <c r="I4" s="46"/>
      <c r="J4" s="45" t="s">
        <v>5</v>
      </c>
      <c r="K4" s="46"/>
      <c r="L4" s="45" t="s">
        <v>6</v>
      </c>
      <c r="M4" s="46"/>
      <c r="N4" s="105" t="s">
        <v>45</v>
      </c>
      <c r="O4" s="105"/>
      <c r="P4" s="45" t="s">
        <v>7</v>
      </c>
      <c r="Q4" s="46"/>
      <c r="R4" s="41" t="s">
        <v>8</v>
      </c>
    </row>
    <row r="5" spans="1:18" ht="12.75" customHeight="1">
      <c r="A5" s="6" t="s">
        <v>12</v>
      </c>
      <c r="B5" s="42" t="s">
        <v>9</v>
      </c>
      <c r="C5" s="43" t="s">
        <v>10</v>
      </c>
      <c r="D5" s="42" t="s">
        <v>9</v>
      </c>
      <c r="E5" s="43" t="s">
        <v>10</v>
      </c>
      <c r="F5" s="42" t="s">
        <v>9</v>
      </c>
      <c r="G5" s="43" t="s">
        <v>10</v>
      </c>
      <c r="H5" s="42" t="s">
        <v>9</v>
      </c>
      <c r="I5" s="43" t="s">
        <v>10</v>
      </c>
      <c r="J5" s="42" t="s">
        <v>9</v>
      </c>
      <c r="K5" s="43" t="s">
        <v>10</v>
      </c>
      <c r="L5" s="42" t="s">
        <v>9</v>
      </c>
      <c r="M5" s="43" t="s">
        <v>10</v>
      </c>
      <c r="N5" s="42" t="s">
        <v>9</v>
      </c>
      <c r="O5" s="43" t="s">
        <v>10</v>
      </c>
      <c r="P5" s="42" t="s">
        <v>9</v>
      </c>
      <c r="Q5" s="43" t="s">
        <v>10</v>
      </c>
      <c r="R5" s="44" t="s">
        <v>7</v>
      </c>
    </row>
    <row r="6" spans="1:18" ht="12.75" customHeight="1">
      <c r="A6" s="6"/>
      <c r="B6" s="12"/>
      <c r="C6" s="13"/>
      <c r="D6" s="12"/>
      <c r="E6" s="13"/>
      <c r="F6" s="12"/>
      <c r="G6" s="13"/>
      <c r="H6" s="12"/>
      <c r="I6" s="13"/>
      <c r="J6" s="12"/>
      <c r="K6" s="13"/>
      <c r="L6" s="12"/>
      <c r="M6" s="13"/>
      <c r="N6" s="106"/>
      <c r="O6" s="106"/>
      <c r="P6" s="12"/>
      <c r="Q6" s="13"/>
      <c r="R6" s="14"/>
    </row>
    <row r="7" spans="1:18" s="16" customFormat="1" ht="12.75" customHeight="1">
      <c r="A7" s="15" t="s">
        <v>42</v>
      </c>
      <c r="B7" s="60">
        <f>5+12</f>
        <v>17</v>
      </c>
      <c r="C7" s="82">
        <v>32</v>
      </c>
      <c r="D7" s="60">
        <v>0</v>
      </c>
      <c r="E7" s="82">
        <f>3+4</f>
        <v>7</v>
      </c>
      <c r="F7" s="60">
        <v>0</v>
      </c>
      <c r="G7" s="82">
        <v>1</v>
      </c>
      <c r="H7" s="60">
        <f>1+2</f>
        <v>3</v>
      </c>
      <c r="I7" s="82">
        <f>1+2</f>
        <v>3</v>
      </c>
      <c r="J7" s="60">
        <v>0</v>
      </c>
      <c r="K7" s="82">
        <v>0</v>
      </c>
      <c r="L7" s="60">
        <f>1+1</f>
        <v>2</v>
      </c>
      <c r="M7" s="82">
        <v>1</v>
      </c>
      <c r="N7" s="60">
        <v>0</v>
      </c>
      <c r="O7" s="61">
        <v>0</v>
      </c>
      <c r="P7" s="63">
        <f aca="true" t="shared" si="0" ref="P7:Q10">L7+J7+H7+F7+D7+B7</f>
        <v>22</v>
      </c>
      <c r="Q7" s="65">
        <f t="shared" si="0"/>
        <v>44</v>
      </c>
      <c r="R7" s="62">
        <f>Q7+P7</f>
        <v>66</v>
      </c>
    </row>
    <row r="8" spans="1:18" s="16" customFormat="1" ht="12.75" customHeight="1">
      <c r="A8" s="15" t="s">
        <v>44</v>
      </c>
      <c r="B8" s="60">
        <v>18</v>
      </c>
      <c r="C8" s="82">
        <v>27</v>
      </c>
      <c r="D8" s="60">
        <v>1</v>
      </c>
      <c r="E8" s="82">
        <v>5</v>
      </c>
      <c r="F8" s="60">
        <v>1</v>
      </c>
      <c r="G8" s="82">
        <v>1</v>
      </c>
      <c r="H8" s="60">
        <v>1</v>
      </c>
      <c r="I8" s="82">
        <v>0</v>
      </c>
      <c r="J8" s="60">
        <v>0</v>
      </c>
      <c r="K8" s="82">
        <v>0</v>
      </c>
      <c r="L8" s="60">
        <v>1</v>
      </c>
      <c r="M8" s="82">
        <v>3</v>
      </c>
      <c r="N8" s="60">
        <v>0</v>
      </c>
      <c r="O8" s="61">
        <v>0</v>
      </c>
      <c r="P8" s="63">
        <f t="shared" si="0"/>
        <v>22</v>
      </c>
      <c r="Q8" s="65">
        <f t="shared" si="0"/>
        <v>36</v>
      </c>
      <c r="R8" s="62">
        <f>Q8+P8</f>
        <v>58</v>
      </c>
    </row>
    <row r="9" spans="1:18" s="16" customFormat="1" ht="12.75" customHeight="1">
      <c r="A9" s="15" t="s">
        <v>48</v>
      </c>
      <c r="B9" s="60">
        <v>10</v>
      </c>
      <c r="C9" s="82">
        <v>28</v>
      </c>
      <c r="D9" s="60">
        <v>0</v>
      </c>
      <c r="E9" s="82">
        <v>6</v>
      </c>
      <c r="F9" s="60">
        <v>1</v>
      </c>
      <c r="G9" s="82">
        <v>0</v>
      </c>
      <c r="H9" s="60">
        <v>1</v>
      </c>
      <c r="I9" s="82">
        <v>0</v>
      </c>
      <c r="J9" s="60">
        <v>0</v>
      </c>
      <c r="K9" s="82">
        <v>1</v>
      </c>
      <c r="L9" s="60">
        <v>5</v>
      </c>
      <c r="M9" s="82">
        <v>5</v>
      </c>
      <c r="N9" s="60">
        <v>0</v>
      </c>
      <c r="O9" s="61">
        <v>0</v>
      </c>
      <c r="P9" s="63">
        <f t="shared" si="0"/>
        <v>17</v>
      </c>
      <c r="Q9" s="65">
        <f t="shared" si="0"/>
        <v>40</v>
      </c>
      <c r="R9" s="62">
        <f>Q9+P9</f>
        <v>57</v>
      </c>
    </row>
    <row r="10" spans="1:18" s="16" customFormat="1" ht="12.75" customHeight="1">
      <c r="A10" s="15" t="s">
        <v>50</v>
      </c>
      <c r="B10" s="60">
        <v>17</v>
      </c>
      <c r="C10" s="82">
        <v>39</v>
      </c>
      <c r="D10" s="60">
        <v>2</v>
      </c>
      <c r="E10" s="82">
        <v>4</v>
      </c>
      <c r="F10" s="60">
        <v>1</v>
      </c>
      <c r="G10" s="82">
        <v>0</v>
      </c>
      <c r="H10" s="60">
        <v>1</v>
      </c>
      <c r="I10" s="82">
        <v>1</v>
      </c>
      <c r="J10" s="60">
        <v>0</v>
      </c>
      <c r="K10" s="82">
        <v>0</v>
      </c>
      <c r="L10" s="60">
        <v>5</v>
      </c>
      <c r="M10" s="82">
        <v>2</v>
      </c>
      <c r="N10" s="60">
        <v>0</v>
      </c>
      <c r="O10" s="61">
        <v>0</v>
      </c>
      <c r="P10" s="63">
        <f t="shared" si="0"/>
        <v>26</v>
      </c>
      <c r="Q10" s="65">
        <f t="shared" si="0"/>
        <v>46</v>
      </c>
      <c r="R10" s="62">
        <f>Q10+P10</f>
        <v>72</v>
      </c>
    </row>
    <row r="11" spans="1:18" s="16" customFormat="1" ht="12.75" customHeight="1">
      <c r="A11" s="15" t="s">
        <v>57</v>
      </c>
      <c r="B11" s="60">
        <v>21</v>
      </c>
      <c r="C11" s="82">
        <v>31</v>
      </c>
      <c r="D11" s="60">
        <v>1</v>
      </c>
      <c r="E11" s="82">
        <v>3</v>
      </c>
      <c r="F11" s="60">
        <v>0</v>
      </c>
      <c r="G11" s="82">
        <v>0</v>
      </c>
      <c r="H11" s="60">
        <v>0</v>
      </c>
      <c r="I11" s="82">
        <v>1</v>
      </c>
      <c r="J11" s="60">
        <v>1</v>
      </c>
      <c r="K11" s="82">
        <v>1</v>
      </c>
      <c r="L11" s="60">
        <v>2</v>
      </c>
      <c r="M11" s="82">
        <v>0</v>
      </c>
      <c r="N11" s="60">
        <v>1</v>
      </c>
      <c r="O11" s="61">
        <v>2</v>
      </c>
      <c r="P11" s="63">
        <f>L11+J11+H11+F11+D11+B11+N11</f>
        <v>26</v>
      </c>
      <c r="Q11" s="65">
        <f>M11+K11+I11+G11+E11+C11+O11</f>
        <v>38</v>
      </c>
      <c r="R11" s="62">
        <f>Q11+P11</f>
        <v>64</v>
      </c>
    </row>
    <row r="12" spans="2:18" ht="12.75" customHeight="1">
      <c r="B12" s="9"/>
      <c r="C12" s="20"/>
      <c r="D12" s="9"/>
      <c r="E12" s="20"/>
      <c r="F12" s="9"/>
      <c r="G12" s="20"/>
      <c r="H12" s="9"/>
      <c r="I12" s="20"/>
      <c r="J12" s="9"/>
      <c r="K12" s="20"/>
      <c r="L12" s="9"/>
      <c r="M12" s="10"/>
      <c r="N12" s="20"/>
      <c r="O12" s="20"/>
      <c r="P12" s="9"/>
      <c r="Q12" s="20"/>
      <c r="R12" s="11"/>
    </row>
    <row r="42" spans="1:18" s="16" customFormat="1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52" spans="1:18" s="16" customFormat="1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</sheetData>
  <printOptions horizontalCentered="1"/>
  <pageMargins left="0.25" right="0.25" top="1" bottom="0.75" header="0.5" footer="0.25"/>
  <pageSetup fitToHeight="1" fitToWidth="1" horizontalDpi="300" verticalDpi="300" orientation="landscape" scale="93" r:id="rId1"/>
  <headerFooter alignWithMargins="0">
    <oddHeader>&amp;CThe University of Alabama in Huntsville
Unit Academic Reports 
</oddHeader>
    <oddFooter xml:space="preserve">&amp;L&amp;8Office of Institutional Research
&amp;D (ly)
&amp;F 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52">
    <pageSetUpPr fitToPage="1"/>
  </sheetPr>
  <dimension ref="A1:M30"/>
  <sheetViews>
    <sheetView workbookViewId="0" topLeftCell="A1">
      <selection activeCell="F25" sqref="F25"/>
    </sheetView>
  </sheetViews>
  <sheetFormatPr defaultColWidth="9.140625" defaultRowHeight="12.75" customHeight="1"/>
  <cols>
    <col min="1" max="1" width="22.7109375" style="35" customWidth="1"/>
    <col min="2" max="8" width="13.7109375" style="2" customWidth="1"/>
    <col min="9" max="16384" width="9.140625" style="2" customWidth="1"/>
  </cols>
  <sheetData>
    <row r="1" ht="12.75" customHeight="1">
      <c r="A1" s="1" t="s">
        <v>38</v>
      </c>
    </row>
    <row r="2" ht="12.75" customHeight="1">
      <c r="A2" s="36"/>
    </row>
    <row r="3" ht="12.75" customHeight="1">
      <c r="A3" s="6" t="s">
        <v>13</v>
      </c>
    </row>
    <row r="4" spans="1:4" s="38" customFormat="1" ht="12.75" customHeight="1">
      <c r="A4" s="39" t="s">
        <v>11</v>
      </c>
      <c r="B4" s="47" t="s">
        <v>16</v>
      </c>
      <c r="C4" s="47" t="s">
        <v>14</v>
      </c>
      <c r="D4" s="47" t="s">
        <v>15</v>
      </c>
    </row>
    <row r="5" spans="2:12" ht="12.75" customHeight="1">
      <c r="B5" s="8"/>
      <c r="C5" s="8"/>
      <c r="D5" s="8"/>
      <c r="E5"/>
      <c r="F5"/>
      <c r="G5"/>
      <c r="H5"/>
      <c r="I5"/>
      <c r="J5"/>
      <c r="K5"/>
      <c r="L5"/>
    </row>
    <row r="6" spans="1:12" s="16" customFormat="1" ht="12.75" customHeight="1">
      <c r="A6" s="15" t="s">
        <v>42</v>
      </c>
      <c r="B6" s="14">
        <f>3+16</f>
        <v>19</v>
      </c>
      <c r="C6" s="14">
        <f>'PEN&amp;UND'!R7</f>
        <v>66</v>
      </c>
      <c r="D6" s="14">
        <f>8+42</f>
        <v>50</v>
      </c>
      <c r="E6" s="26"/>
      <c r="F6" s="26"/>
      <c r="G6" s="26"/>
      <c r="H6" s="26"/>
      <c r="I6" s="26"/>
      <c r="J6" s="26"/>
      <c r="K6" s="26"/>
      <c r="L6" s="26"/>
    </row>
    <row r="7" spans="1:12" s="16" customFormat="1" ht="12.75" customHeight="1">
      <c r="A7" s="15" t="s">
        <v>44</v>
      </c>
      <c r="B7" s="14">
        <v>14</v>
      </c>
      <c r="C7" s="14">
        <f>'PEN&amp;UND'!R8</f>
        <v>58</v>
      </c>
      <c r="D7" s="14">
        <v>43</v>
      </c>
      <c r="E7" s="26"/>
      <c r="F7" s="26"/>
      <c r="G7" s="26"/>
      <c r="H7" s="26"/>
      <c r="I7" s="26"/>
      <c r="J7" s="26"/>
      <c r="K7" s="26"/>
      <c r="L7" s="26"/>
    </row>
    <row r="8" spans="1:12" s="16" customFormat="1" ht="12.75" customHeight="1">
      <c r="A8" s="15" t="s">
        <v>48</v>
      </c>
      <c r="B8" s="14">
        <v>12</v>
      </c>
      <c r="C8" s="14">
        <f>'PEN&amp;UND'!R9</f>
        <v>57</v>
      </c>
      <c r="D8" s="14">
        <f>14+36</f>
        <v>50</v>
      </c>
      <c r="E8" s="26"/>
      <c r="F8" s="26"/>
      <c r="G8" s="26"/>
      <c r="H8" s="26"/>
      <c r="I8" s="26"/>
      <c r="J8" s="26"/>
      <c r="K8" s="26"/>
      <c r="L8" s="26"/>
    </row>
    <row r="9" spans="1:12" s="16" customFormat="1" ht="12.75" customHeight="1">
      <c r="A9" s="15" t="s">
        <v>50</v>
      </c>
      <c r="B9" s="14">
        <v>19</v>
      </c>
      <c r="C9" s="14">
        <f>'PEN&amp;UND'!R10</f>
        <v>72</v>
      </c>
      <c r="D9" s="14">
        <v>61</v>
      </c>
      <c r="E9" s="26"/>
      <c r="F9" s="26"/>
      <c r="G9" s="26"/>
      <c r="H9" s="26"/>
      <c r="I9" s="26"/>
      <c r="J9" s="26"/>
      <c r="K9" s="26"/>
      <c r="L9" s="26"/>
    </row>
    <row r="10" spans="1:12" s="16" customFormat="1" ht="12.75" customHeight="1">
      <c r="A10" s="15" t="s">
        <v>57</v>
      </c>
      <c r="B10" s="14">
        <v>22</v>
      </c>
      <c r="C10" s="14">
        <f>'PEN&amp;UND'!R11</f>
        <v>64</v>
      </c>
      <c r="D10" s="14">
        <v>51</v>
      </c>
      <c r="E10" s="26"/>
      <c r="F10" s="26"/>
      <c r="G10" s="26"/>
      <c r="H10" s="26"/>
      <c r="I10" s="26"/>
      <c r="J10" s="26"/>
      <c r="K10" s="26"/>
      <c r="L10" s="26"/>
    </row>
    <row r="11" spans="1:12" ht="12.75" customHeight="1">
      <c r="A11" s="36"/>
      <c r="B11" s="32"/>
      <c r="C11" s="32"/>
      <c r="D11" s="33"/>
      <c r="E11"/>
      <c r="F11"/>
      <c r="G11"/>
      <c r="H11"/>
      <c r="I11"/>
      <c r="J11"/>
      <c r="K11"/>
      <c r="L11"/>
    </row>
    <row r="12" spans="1:12" ht="12.75" customHeight="1">
      <c r="A12" s="36"/>
      <c r="B12"/>
      <c r="C12"/>
      <c r="D12"/>
      <c r="E12"/>
      <c r="F12"/>
      <c r="G12"/>
      <c r="H12"/>
      <c r="I12"/>
      <c r="J12"/>
      <c r="K12"/>
      <c r="L12"/>
    </row>
    <row r="21" spans="1:13" s="16" customFormat="1" ht="12.75" customHeight="1">
      <c r="A21" s="35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30" spans="1:13" s="16" customFormat="1" ht="12.75" customHeight="1">
      <c r="A30" s="3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</sheetData>
  <printOptions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 xml:space="preserve">&amp;L&amp;8Office of Institutional Research
&amp;D (ly)
&amp;F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M705"/>
  <sheetViews>
    <sheetView workbookViewId="0" topLeftCell="A1">
      <selection activeCell="D10" sqref="D10"/>
    </sheetView>
  </sheetViews>
  <sheetFormatPr defaultColWidth="9.140625" defaultRowHeight="12.75" customHeight="1"/>
  <cols>
    <col min="1" max="1" width="22.7109375" style="35" customWidth="1"/>
    <col min="2" max="8" width="13.7109375" style="2" customWidth="1"/>
    <col min="9" max="16384" width="9.140625" style="2" customWidth="1"/>
  </cols>
  <sheetData>
    <row r="1" ht="12.75" customHeight="1">
      <c r="A1" s="1" t="s">
        <v>0</v>
      </c>
    </row>
    <row r="2" ht="12.75" customHeight="1">
      <c r="A2" s="1"/>
    </row>
    <row r="3" ht="12.75" customHeight="1">
      <c r="A3" s="6" t="s">
        <v>13</v>
      </c>
    </row>
    <row r="4" spans="1:4" s="38" customFormat="1" ht="12.75" customHeight="1">
      <c r="A4" s="39" t="s">
        <v>11</v>
      </c>
      <c r="B4" s="47" t="s">
        <v>16</v>
      </c>
      <c r="C4" s="47" t="s">
        <v>14</v>
      </c>
      <c r="D4" s="47" t="s">
        <v>15</v>
      </c>
    </row>
    <row r="5" spans="2:4" ht="12.75" customHeight="1">
      <c r="B5" s="8"/>
      <c r="C5" s="8"/>
      <c r="D5" s="8"/>
    </row>
    <row r="6" spans="1:4" s="16" customFormat="1" ht="12.75" customHeight="1">
      <c r="A6" s="15" t="s">
        <v>42</v>
      </c>
      <c r="B6" s="14">
        <v>62</v>
      </c>
      <c r="C6" s="14">
        <f>ART!R17</f>
        <v>141</v>
      </c>
      <c r="D6" s="14">
        <v>143</v>
      </c>
    </row>
    <row r="7" spans="1:4" s="16" customFormat="1" ht="12.75" customHeight="1">
      <c r="A7" s="15" t="s">
        <v>44</v>
      </c>
      <c r="B7" s="14">
        <v>72</v>
      </c>
      <c r="C7" s="14">
        <f>ART!R18</f>
        <v>145</v>
      </c>
      <c r="D7" s="14">
        <v>144</v>
      </c>
    </row>
    <row r="8" spans="1:4" s="16" customFormat="1" ht="12.75" customHeight="1">
      <c r="A8" s="6" t="s">
        <v>48</v>
      </c>
      <c r="B8" s="14">
        <v>73</v>
      </c>
      <c r="C8" s="14">
        <f>ART!R19</f>
        <v>148</v>
      </c>
      <c r="D8" s="14">
        <v>145</v>
      </c>
    </row>
    <row r="9" spans="1:4" s="16" customFormat="1" ht="12.75" customHeight="1">
      <c r="A9" s="6" t="s">
        <v>50</v>
      </c>
      <c r="B9" s="14">
        <v>78</v>
      </c>
      <c r="C9" s="14">
        <f>ART!R20</f>
        <v>153</v>
      </c>
      <c r="D9" s="14">
        <v>134</v>
      </c>
    </row>
    <row r="10" spans="1:4" s="16" customFormat="1" ht="12.75" customHeight="1">
      <c r="A10" s="15" t="s">
        <v>57</v>
      </c>
      <c r="B10" s="14">
        <v>53</v>
      </c>
      <c r="C10" s="14">
        <f>ART!R21</f>
        <v>148</v>
      </c>
      <c r="D10" s="14">
        <v>139</v>
      </c>
    </row>
    <row r="11" spans="1:8" ht="12.75" customHeight="1">
      <c r="A11" s="36"/>
      <c r="B11" s="9"/>
      <c r="C11" s="9"/>
      <c r="D11" s="11"/>
      <c r="E11"/>
      <c r="F11"/>
      <c r="G11"/>
      <c r="H11"/>
    </row>
    <row r="13" spans="1:8" s="38" customFormat="1" ht="12.75" customHeight="1">
      <c r="A13" s="39" t="s">
        <v>56</v>
      </c>
      <c r="B13" s="48" t="s">
        <v>13</v>
      </c>
      <c r="C13" s="48" t="s">
        <v>13</v>
      </c>
      <c r="D13" s="48" t="s">
        <v>7</v>
      </c>
      <c r="E13" s="48" t="s">
        <v>17</v>
      </c>
      <c r="F13" s="48" t="s">
        <v>17</v>
      </c>
      <c r="G13" s="49" t="s">
        <v>7</v>
      </c>
      <c r="H13" s="49" t="s">
        <v>8</v>
      </c>
    </row>
    <row r="14" spans="2:8" s="38" customFormat="1" ht="12.75" customHeight="1">
      <c r="B14" s="50" t="s">
        <v>18</v>
      </c>
      <c r="C14" s="50" t="s">
        <v>19</v>
      </c>
      <c r="D14" s="50" t="s">
        <v>13</v>
      </c>
      <c r="E14" s="50" t="s">
        <v>20</v>
      </c>
      <c r="F14" s="50" t="s">
        <v>21</v>
      </c>
      <c r="G14" s="51" t="s">
        <v>17</v>
      </c>
      <c r="H14" s="51" t="s">
        <v>7</v>
      </c>
    </row>
    <row r="15" spans="2:9" ht="12.75" customHeight="1">
      <c r="B15" s="3"/>
      <c r="C15" s="3"/>
      <c r="D15" s="3"/>
      <c r="E15" s="3"/>
      <c r="F15" s="3"/>
      <c r="G15" s="3"/>
      <c r="H15" s="8"/>
      <c r="I15"/>
    </row>
    <row r="16" spans="1:9" ht="12.75" customHeight="1">
      <c r="A16" s="6" t="s">
        <v>42</v>
      </c>
      <c r="B16" s="74">
        <v>2997</v>
      </c>
      <c r="C16" s="74">
        <v>1149</v>
      </c>
      <c r="D16" s="74">
        <f>C16+B16</f>
        <v>4146</v>
      </c>
      <c r="E16" s="74">
        <v>0</v>
      </c>
      <c r="F16" s="74">
        <v>0</v>
      </c>
      <c r="G16" s="74">
        <f>F16+E16</f>
        <v>0</v>
      </c>
      <c r="H16" s="75">
        <f>G16+D16</f>
        <v>4146</v>
      </c>
      <c r="I16"/>
    </row>
    <row r="17" spans="1:9" ht="12.75" customHeight="1">
      <c r="A17" s="6" t="s">
        <v>44</v>
      </c>
      <c r="B17" s="74">
        <v>2697</v>
      </c>
      <c r="C17" s="74">
        <v>1125</v>
      </c>
      <c r="D17" s="74">
        <f>C17+B17</f>
        <v>3822</v>
      </c>
      <c r="E17" s="74">
        <v>0</v>
      </c>
      <c r="F17" s="74">
        <v>0</v>
      </c>
      <c r="G17" s="74">
        <f>F17+E17</f>
        <v>0</v>
      </c>
      <c r="H17" s="75">
        <f>G17+D17</f>
        <v>3822</v>
      </c>
      <c r="I17"/>
    </row>
    <row r="18" spans="1:9" ht="12.75" customHeight="1">
      <c r="A18" s="6" t="s">
        <v>48</v>
      </c>
      <c r="B18" s="74">
        <v>2688</v>
      </c>
      <c r="C18" s="74">
        <v>1221</v>
      </c>
      <c r="D18" s="74">
        <f>C18+B18</f>
        <v>3909</v>
      </c>
      <c r="E18" s="74">
        <v>0</v>
      </c>
      <c r="F18" s="74">
        <v>0</v>
      </c>
      <c r="G18" s="74">
        <f>F18+E18</f>
        <v>0</v>
      </c>
      <c r="H18" s="75">
        <f>G18+D18</f>
        <v>3909</v>
      </c>
      <c r="I18"/>
    </row>
    <row r="19" spans="1:9" ht="12.75" customHeight="1">
      <c r="A19" s="15" t="s">
        <v>50</v>
      </c>
      <c r="B19" s="74">
        <f>246+1281+1419</f>
        <v>2946</v>
      </c>
      <c r="C19" s="74">
        <f>273+435+468</f>
        <v>1176</v>
      </c>
      <c r="D19" s="74">
        <f>C19+B19</f>
        <v>4122</v>
      </c>
      <c r="E19" s="74">
        <v>0</v>
      </c>
      <c r="F19" s="74">
        <v>0</v>
      </c>
      <c r="G19" s="74">
        <f>F19+E19</f>
        <v>0</v>
      </c>
      <c r="H19" s="75">
        <f>G19+D19</f>
        <v>4122</v>
      </c>
      <c r="I19"/>
    </row>
    <row r="20" spans="1:9" ht="12.75" customHeight="1">
      <c r="A20" s="15" t="s">
        <v>57</v>
      </c>
      <c r="B20" s="74">
        <f>321+1451+1410</f>
        <v>3182</v>
      </c>
      <c r="C20" s="74">
        <f>138+474+513</f>
        <v>1125</v>
      </c>
      <c r="D20" s="74">
        <f>C20+B20</f>
        <v>4307</v>
      </c>
      <c r="E20" s="74">
        <v>0</v>
      </c>
      <c r="F20" s="74">
        <v>0</v>
      </c>
      <c r="G20" s="74">
        <f>F20+E20</f>
        <v>0</v>
      </c>
      <c r="H20" s="75">
        <f>G20+D20</f>
        <v>4307</v>
      </c>
      <c r="I20"/>
    </row>
    <row r="21" spans="1:9" ht="12.75" customHeight="1">
      <c r="A21" s="36"/>
      <c r="B21" s="9"/>
      <c r="C21" s="9"/>
      <c r="D21" s="9"/>
      <c r="E21" s="9"/>
      <c r="F21" s="9"/>
      <c r="G21" s="9"/>
      <c r="H21" s="11"/>
      <c r="I21"/>
    </row>
    <row r="23" spans="1:8" s="38" customFormat="1" ht="12.75" customHeight="1">
      <c r="A23" s="39" t="s">
        <v>55</v>
      </c>
      <c r="B23" s="48" t="s">
        <v>13</v>
      </c>
      <c r="C23" s="48" t="s">
        <v>13</v>
      </c>
      <c r="D23" s="48" t="s">
        <v>7</v>
      </c>
      <c r="E23" s="48" t="s">
        <v>17</v>
      </c>
      <c r="F23" s="48" t="s">
        <v>22</v>
      </c>
      <c r="G23" s="48" t="s">
        <v>23</v>
      </c>
      <c r="H23" s="49" t="s">
        <v>8</v>
      </c>
    </row>
    <row r="24" spans="2:8" s="38" customFormat="1" ht="12.75" customHeight="1">
      <c r="B24" s="50" t="s">
        <v>18</v>
      </c>
      <c r="C24" s="50" t="s">
        <v>19</v>
      </c>
      <c r="D24" s="50" t="s">
        <v>13</v>
      </c>
      <c r="E24" s="50" t="s">
        <v>20</v>
      </c>
      <c r="F24" s="50" t="s">
        <v>21</v>
      </c>
      <c r="G24" s="50" t="s">
        <v>17</v>
      </c>
      <c r="H24" s="51" t="s">
        <v>7</v>
      </c>
    </row>
    <row r="25" spans="2:8" ht="12.75" customHeight="1">
      <c r="B25" s="12"/>
      <c r="C25" s="12"/>
      <c r="D25" s="12"/>
      <c r="E25" s="12"/>
      <c r="F25" s="12"/>
      <c r="G25" s="12"/>
      <c r="H25" s="14"/>
    </row>
    <row r="26" spans="1:8" ht="12.75" customHeight="1">
      <c r="A26" s="6" t="s">
        <v>42</v>
      </c>
      <c r="B26" s="24">
        <f>B16*1.78</f>
        <v>5334.66</v>
      </c>
      <c r="C26" s="24">
        <f>C16*2.4</f>
        <v>2757.6</v>
      </c>
      <c r="D26" s="24">
        <f>C26+B26</f>
        <v>8092.26</v>
      </c>
      <c r="E26" s="24">
        <v>0</v>
      </c>
      <c r="F26" s="24">
        <v>0</v>
      </c>
      <c r="G26" s="24">
        <f>F26+E26</f>
        <v>0</v>
      </c>
      <c r="H26" s="25">
        <f>G26+D26</f>
        <v>8092.26</v>
      </c>
    </row>
    <row r="27" spans="1:8" ht="12.75" customHeight="1">
      <c r="A27" s="6" t="s">
        <v>44</v>
      </c>
      <c r="B27" s="24">
        <f>B17*1.78</f>
        <v>4800.66</v>
      </c>
      <c r="C27" s="24">
        <f>C17*2.4</f>
        <v>2700</v>
      </c>
      <c r="D27" s="24">
        <f>C27+B27</f>
        <v>7500.66</v>
      </c>
      <c r="E27" s="24">
        <v>0</v>
      </c>
      <c r="F27" s="24">
        <v>0</v>
      </c>
      <c r="G27" s="24">
        <f>F27+E27</f>
        <v>0</v>
      </c>
      <c r="H27" s="25">
        <f>G27+D27</f>
        <v>7500.66</v>
      </c>
    </row>
    <row r="28" spans="1:8" ht="12.75" customHeight="1">
      <c r="A28" s="6" t="s">
        <v>48</v>
      </c>
      <c r="B28" s="24">
        <f>B18*1.78</f>
        <v>4784.64</v>
      </c>
      <c r="C28" s="24">
        <f>C18*2.4</f>
        <v>2930.4</v>
      </c>
      <c r="D28" s="24">
        <f>C28+B28</f>
        <v>7715.040000000001</v>
      </c>
      <c r="E28" s="24">
        <v>0</v>
      </c>
      <c r="F28" s="24">
        <v>0</v>
      </c>
      <c r="G28" s="24">
        <f>F28+E28</f>
        <v>0</v>
      </c>
      <c r="H28" s="25">
        <f>G28+D28</f>
        <v>7715.040000000001</v>
      </c>
    </row>
    <row r="29" spans="1:8" ht="12.75" customHeight="1">
      <c r="A29" s="15" t="s">
        <v>50</v>
      </c>
      <c r="B29" s="24">
        <f>B19*1.78</f>
        <v>5243.88</v>
      </c>
      <c r="C29" s="24">
        <f>C19*2.4</f>
        <v>2822.4</v>
      </c>
      <c r="D29" s="24">
        <f>C29+B29</f>
        <v>8066.280000000001</v>
      </c>
      <c r="E29" s="24">
        <v>0</v>
      </c>
      <c r="F29" s="24">
        <v>0</v>
      </c>
      <c r="G29" s="24">
        <f>F29+E29</f>
        <v>0</v>
      </c>
      <c r="H29" s="25">
        <f>G29+D29</f>
        <v>8066.280000000001</v>
      </c>
    </row>
    <row r="30" spans="1:8" ht="12.75" customHeight="1">
      <c r="A30" s="15" t="s">
        <v>57</v>
      </c>
      <c r="B30" s="24">
        <f>B20*1.78</f>
        <v>5663.96</v>
      </c>
      <c r="C30" s="24">
        <f>C20*2.4</f>
        <v>2700</v>
      </c>
      <c r="D30" s="24">
        <f>C30+B30</f>
        <v>8363.96</v>
      </c>
      <c r="E30" s="24">
        <v>0</v>
      </c>
      <c r="F30" s="24">
        <v>0</v>
      </c>
      <c r="G30" s="24">
        <f>F30+E30</f>
        <v>0</v>
      </c>
      <c r="H30" s="25">
        <f>G30+D30</f>
        <v>8363.96</v>
      </c>
    </row>
    <row r="31" spans="1:8" ht="12.75" customHeight="1">
      <c r="A31" s="36"/>
      <c r="B31" s="9"/>
      <c r="C31" s="9"/>
      <c r="D31" s="9"/>
      <c r="E31" s="9"/>
      <c r="F31" s="9"/>
      <c r="G31" s="9"/>
      <c r="H31" s="11"/>
    </row>
    <row r="33" ht="12.75" customHeight="1">
      <c r="A33" s="95" t="s">
        <v>58</v>
      </c>
    </row>
    <row r="41" spans="1:13" s="16" customFormat="1" ht="12.75" customHeight="1">
      <c r="A41" s="3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73" spans="1:13" s="16" customFormat="1" ht="12.75" customHeight="1">
      <c r="A73" s="3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86" spans="1:13" s="16" customFormat="1" ht="12.75" customHeight="1">
      <c r="A86" s="35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119" spans="1:13" s="16" customFormat="1" ht="12.75" customHeight="1">
      <c r="A119" s="35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45" spans="1:13" s="16" customFormat="1" ht="12.75" customHeight="1">
      <c r="A145" s="35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56" spans="1:13" s="16" customFormat="1" ht="12.75" customHeight="1">
      <c r="A156" s="35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65" spans="1:13" s="16" customFormat="1" ht="12.75" customHeight="1">
      <c r="A165" s="35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218" spans="1:13" s="16" customFormat="1" ht="12.75" customHeight="1">
      <c r="A218" s="35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29" spans="1:13" s="16" customFormat="1" ht="12.75" customHeight="1">
      <c r="A229" s="35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62" spans="1:13" s="16" customFormat="1" ht="12.75" customHeight="1">
      <c r="A262" s="35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365" spans="1:13" s="16" customFormat="1" ht="12.75" customHeight="1">
      <c r="A365" s="35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99" spans="1:13" s="16" customFormat="1" ht="12.75" customHeight="1">
      <c r="A399" s="35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10" spans="1:13" s="16" customFormat="1" ht="12.75" customHeight="1">
      <c r="A410" s="35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9" spans="1:13" s="16" customFormat="1" ht="12.75" customHeight="1">
      <c r="A419" s="35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53" spans="1:13" s="16" customFormat="1" ht="12.75" customHeight="1">
      <c r="A453" s="35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</row>
    <row r="486" spans="1:13" s="16" customFormat="1" ht="12.75" customHeight="1">
      <c r="A486" s="35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</row>
    <row r="520" spans="1:13" s="16" customFormat="1" ht="12.75" customHeight="1">
      <c r="A520" s="35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</row>
    <row r="553" spans="1:13" s="16" customFormat="1" ht="12.75" customHeight="1">
      <c r="A553" s="35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</row>
    <row r="608" spans="1:13" s="16" customFormat="1" ht="12.75" customHeight="1">
      <c r="A608" s="35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</row>
    <row r="640" spans="1:13" s="16" customFormat="1" ht="12.75" customHeight="1">
      <c r="A640" s="35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</row>
    <row r="651" spans="1:13" s="16" customFormat="1" ht="12.75" customHeight="1">
      <c r="A651" s="35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</row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84" spans="1:13" s="16" customFormat="1" ht="12.75" customHeight="1">
      <c r="A684" s="35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</row>
    <row r="696" spans="1:13" s="16" customFormat="1" ht="12.75" customHeight="1">
      <c r="A696" s="35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</row>
    <row r="705" spans="1:13" s="16" customFormat="1" ht="12.75" customHeight="1">
      <c r="A705" s="35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 xml:space="preserve">&amp;L&amp;8Office of Institutional Research
&amp;D (ly)
&amp;F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H24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2.7109375" style="36" customWidth="1"/>
    <col min="2" max="8" width="13.7109375" style="0" customWidth="1"/>
  </cols>
  <sheetData>
    <row r="1" spans="1:5" ht="12.75" customHeight="1">
      <c r="A1" s="18" t="s">
        <v>51</v>
      </c>
      <c r="B1" s="16"/>
      <c r="C1" s="16"/>
      <c r="D1" s="16"/>
      <c r="E1" s="16"/>
    </row>
    <row r="2" spans="1:5" ht="12.75" customHeight="1">
      <c r="A2" s="35"/>
      <c r="B2" s="2"/>
      <c r="C2" s="2"/>
      <c r="D2" s="2"/>
      <c r="E2" s="2"/>
    </row>
    <row r="3" spans="1:8" s="38" customFormat="1" ht="12.75" customHeight="1">
      <c r="A3" s="39" t="s">
        <v>56</v>
      </c>
      <c r="B3" s="48" t="s">
        <v>13</v>
      </c>
      <c r="C3" s="48" t="s">
        <v>13</v>
      </c>
      <c r="D3" s="48" t="s">
        <v>7</v>
      </c>
      <c r="E3" s="49" t="s">
        <v>17</v>
      </c>
      <c r="F3" s="48" t="s">
        <v>17</v>
      </c>
      <c r="G3" s="49" t="s">
        <v>7</v>
      </c>
      <c r="H3" s="49" t="s">
        <v>8</v>
      </c>
    </row>
    <row r="4" spans="1:8" s="38" customFormat="1" ht="12.75" customHeight="1">
      <c r="A4" s="39"/>
      <c r="B4" s="50" t="s">
        <v>18</v>
      </c>
      <c r="C4" s="50" t="s">
        <v>19</v>
      </c>
      <c r="D4" s="50" t="s">
        <v>13</v>
      </c>
      <c r="E4" s="51" t="s">
        <v>20</v>
      </c>
      <c r="F4" s="50" t="s">
        <v>21</v>
      </c>
      <c r="G4" s="51" t="s">
        <v>17</v>
      </c>
      <c r="H4" s="51" t="s">
        <v>7</v>
      </c>
    </row>
    <row r="5" spans="1:8" ht="12.75" customHeight="1">
      <c r="A5" s="35"/>
      <c r="B5" s="3"/>
      <c r="C5" s="3"/>
      <c r="D5" s="3"/>
      <c r="E5" s="8"/>
      <c r="F5" s="3"/>
      <c r="G5" s="3"/>
      <c r="H5" s="8"/>
    </row>
    <row r="6" spans="1:8" ht="12.75" customHeight="1">
      <c r="A6" s="90" t="s">
        <v>42</v>
      </c>
      <c r="B6" s="74">
        <v>0</v>
      </c>
      <c r="C6" s="74">
        <v>720</v>
      </c>
      <c r="D6" s="74">
        <f>C6+B6</f>
        <v>720</v>
      </c>
      <c r="E6" s="75">
        <v>0</v>
      </c>
      <c r="F6" s="74">
        <v>0</v>
      </c>
      <c r="G6" s="74">
        <v>0</v>
      </c>
      <c r="H6" s="75">
        <f>G6+D6</f>
        <v>720</v>
      </c>
    </row>
    <row r="7" spans="1:8" ht="12.75" customHeight="1">
      <c r="A7" s="6" t="s">
        <v>44</v>
      </c>
      <c r="B7" s="74">
        <v>0</v>
      </c>
      <c r="C7" s="74">
        <v>148</v>
      </c>
      <c r="D7" s="74">
        <f>C7+B7</f>
        <v>148</v>
      </c>
      <c r="E7" s="75">
        <v>0</v>
      </c>
      <c r="F7" s="74">
        <v>0</v>
      </c>
      <c r="G7" s="74">
        <v>0</v>
      </c>
      <c r="H7" s="75">
        <f>G7+D7</f>
        <v>148</v>
      </c>
    </row>
    <row r="8" spans="1:8" ht="12.75" customHeight="1">
      <c r="A8" s="6" t="s">
        <v>48</v>
      </c>
      <c r="B8" s="74">
        <v>0</v>
      </c>
      <c r="C8" s="74">
        <v>0</v>
      </c>
      <c r="D8" s="74">
        <f>C8+B8</f>
        <v>0</v>
      </c>
      <c r="E8" s="75">
        <v>0</v>
      </c>
      <c r="F8" s="74">
        <v>0</v>
      </c>
      <c r="G8" s="74">
        <v>0</v>
      </c>
      <c r="H8" s="75">
        <f>G8+D8</f>
        <v>0</v>
      </c>
    </row>
    <row r="9" spans="1:8" ht="12.75" customHeight="1">
      <c r="A9" s="15" t="s">
        <v>50</v>
      </c>
      <c r="B9" s="74">
        <v>0</v>
      </c>
      <c r="C9" s="74">
        <v>0</v>
      </c>
      <c r="D9" s="74">
        <f>C9+B9</f>
        <v>0</v>
      </c>
      <c r="E9" s="75">
        <v>0</v>
      </c>
      <c r="F9" s="74">
        <v>0</v>
      </c>
      <c r="G9" s="74">
        <v>0</v>
      </c>
      <c r="H9" s="75">
        <f>G9+D9</f>
        <v>0</v>
      </c>
    </row>
    <row r="10" spans="1:8" ht="12.75" customHeight="1">
      <c r="A10" s="15" t="s">
        <v>57</v>
      </c>
      <c r="B10" s="74">
        <v>0</v>
      </c>
      <c r="C10" s="74">
        <v>0</v>
      </c>
      <c r="D10" s="74">
        <f>C10+B10</f>
        <v>0</v>
      </c>
      <c r="E10" s="75">
        <v>0</v>
      </c>
      <c r="F10" s="74">
        <v>0</v>
      </c>
      <c r="G10" s="74">
        <v>0</v>
      </c>
      <c r="H10" s="75">
        <f>G10+D10</f>
        <v>0</v>
      </c>
    </row>
    <row r="11" spans="2:8" ht="12.75" customHeight="1">
      <c r="B11" s="9"/>
      <c r="C11" s="9"/>
      <c r="D11" s="9"/>
      <c r="E11" s="11"/>
      <c r="F11" s="9"/>
      <c r="G11" s="9"/>
      <c r="H11" s="11"/>
    </row>
    <row r="12" spans="1:5" ht="12.75" customHeight="1">
      <c r="A12" s="35"/>
      <c r="B12" s="2"/>
      <c r="C12" s="2"/>
      <c r="D12" s="2"/>
      <c r="E12" s="2"/>
    </row>
    <row r="13" spans="1:8" s="38" customFormat="1" ht="12.75" customHeight="1">
      <c r="A13" s="39" t="s">
        <v>55</v>
      </c>
      <c r="B13" s="48" t="s">
        <v>13</v>
      </c>
      <c r="C13" s="48" t="s">
        <v>13</v>
      </c>
      <c r="D13" s="48" t="s">
        <v>7</v>
      </c>
      <c r="E13" s="49" t="s">
        <v>17</v>
      </c>
      <c r="F13" s="48" t="s">
        <v>17</v>
      </c>
      <c r="G13" s="49" t="s">
        <v>7</v>
      </c>
      <c r="H13" s="49" t="s">
        <v>8</v>
      </c>
    </row>
    <row r="14" spans="2:8" s="38" customFormat="1" ht="12.75" customHeight="1">
      <c r="B14" s="50" t="s">
        <v>18</v>
      </c>
      <c r="C14" s="50" t="s">
        <v>19</v>
      </c>
      <c r="D14" s="50" t="s">
        <v>13</v>
      </c>
      <c r="E14" s="51" t="s">
        <v>20</v>
      </c>
      <c r="F14" s="50" t="s">
        <v>21</v>
      </c>
      <c r="G14" s="51" t="s">
        <v>17</v>
      </c>
      <c r="H14" s="51" t="s">
        <v>7</v>
      </c>
    </row>
    <row r="15" spans="1:8" ht="12.75" customHeight="1">
      <c r="A15" s="35"/>
      <c r="B15" s="12"/>
      <c r="C15" s="12"/>
      <c r="D15" s="12"/>
      <c r="E15" s="14"/>
      <c r="F15" s="3"/>
      <c r="G15" s="3"/>
      <c r="H15" s="8"/>
    </row>
    <row r="16" spans="1:8" ht="12.75" customHeight="1">
      <c r="A16" s="90" t="s">
        <v>42</v>
      </c>
      <c r="B16" s="24">
        <f>+B6*0.85</f>
        <v>0</v>
      </c>
      <c r="C16" s="24">
        <f>+C6*1.15</f>
        <v>827.9999999999999</v>
      </c>
      <c r="D16" s="24">
        <f>C16+B16</f>
        <v>827.9999999999999</v>
      </c>
      <c r="E16" s="25">
        <f>+E6*2.73</f>
        <v>0</v>
      </c>
      <c r="F16" s="27">
        <v>0</v>
      </c>
      <c r="G16" s="27">
        <v>0</v>
      </c>
      <c r="H16" s="28">
        <f>G16+D16</f>
        <v>827.9999999999999</v>
      </c>
    </row>
    <row r="17" spans="1:8" ht="12.75" customHeight="1">
      <c r="A17" s="6" t="s">
        <v>44</v>
      </c>
      <c r="B17" s="24">
        <f>+B7*0.85</f>
        <v>0</v>
      </c>
      <c r="C17" s="24">
        <f>+C7*1.15</f>
        <v>170.2</v>
      </c>
      <c r="D17" s="24">
        <f>C17+B17</f>
        <v>170.2</v>
      </c>
      <c r="E17" s="25">
        <f>+E7*2.73</f>
        <v>0</v>
      </c>
      <c r="F17" s="27">
        <v>0</v>
      </c>
      <c r="G17" s="27">
        <v>0</v>
      </c>
      <c r="H17" s="28">
        <f>G17+D17</f>
        <v>170.2</v>
      </c>
    </row>
    <row r="18" spans="1:8" ht="12.75" customHeight="1">
      <c r="A18" s="6" t="s">
        <v>48</v>
      </c>
      <c r="B18" s="24">
        <f>+B8*0.85</f>
        <v>0</v>
      </c>
      <c r="C18" s="24">
        <f>+C8*1.15</f>
        <v>0</v>
      </c>
      <c r="D18" s="24">
        <f>C18+B18</f>
        <v>0</v>
      </c>
      <c r="E18" s="25">
        <f>+E8*2.73</f>
        <v>0</v>
      </c>
      <c r="F18" s="27">
        <v>0</v>
      </c>
      <c r="G18" s="27">
        <v>0</v>
      </c>
      <c r="H18" s="28">
        <f>G18+D18</f>
        <v>0</v>
      </c>
    </row>
    <row r="19" spans="1:8" ht="12.75" customHeight="1">
      <c r="A19" s="15" t="s">
        <v>50</v>
      </c>
      <c r="B19" s="24">
        <f>+B9*0.85</f>
        <v>0</v>
      </c>
      <c r="C19" s="24">
        <f>+C9*1.15</f>
        <v>0</v>
      </c>
      <c r="D19" s="24">
        <f>C19+B19</f>
        <v>0</v>
      </c>
      <c r="E19" s="25">
        <f>+E9*2.73</f>
        <v>0</v>
      </c>
      <c r="F19" s="27">
        <v>0</v>
      </c>
      <c r="G19" s="27">
        <v>0</v>
      </c>
      <c r="H19" s="28">
        <f>G19+D19</f>
        <v>0</v>
      </c>
    </row>
    <row r="20" spans="1:8" ht="12.75" customHeight="1">
      <c r="A20" s="15" t="s">
        <v>57</v>
      </c>
      <c r="B20" s="24">
        <f>+B10*0.85</f>
        <v>0</v>
      </c>
      <c r="C20" s="24">
        <f>+C10*1.15</f>
        <v>0</v>
      </c>
      <c r="D20" s="24">
        <f>C20+B20</f>
        <v>0</v>
      </c>
      <c r="E20" s="25">
        <f>+E10*2.73</f>
        <v>0</v>
      </c>
      <c r="F20" s="27">
        <v>0</v>
      </c>
      <c r="G20" s="27">
        <v>0</v>
      </c>
      <c r="H20" s="28">
        <f>G20+D20</f>
        <v>0</v>
      </c>
    </row>
    <row r="21" spans="2:8" ht="12.75" customHeight="1">
      <c r="B21" s="9"/>
      <c r="C21" s="9"/>
      <c r="D21" s="9"/>
      <c r="E21" s="11"/>
      <c r="F21" s="9"/>
      <c r="G21" s="9"/>
      <c r="H21" s="11"/>
    </row>
    <row r="22" spans="1:5" ht="12.75" customHeight="1">
      <c r="A22" s="35"/>
      <c r="B22" s="2"/>
      <c r="C22" s="2"/>
      <c r="D22" s="2"/>
      <c r="E22" s="2"/>
    </row>
    <row r="23" spans="1:7" ht="12.75" customHeight="1">
      <c r="A23" s="95" t="s">
        <v>58</v>
      </c>
      <c r="C23" s="2"/>
      <c r="D23" s="2"/>
      <c r="E23" s="2"/>
      <c r="F23" s="2"/>
      <c r="G23" s="2"/>
    </row>
    <row r="24" spans="1:7" ht="12.75" customHeight="1">
      <c r="A24" s="35"/>
      <c r="C24" s="2"/>
      <c r="D24" s="2"/>
      <c r="E24" s="2"/>
      <c r="F24" s="2"/>
      <c r="G24" s="2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 xml:space="preserve">&amp;L&amp;8Office of Institutional Research
&amp;D (ly)
&amp;F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R513"/>
  <sheetViews>
    <sheetView workbookViewId="0" topLeftCell="A1">
      <selection activeCell="Q6" sqref="Q6"/>
    </sheetView>
  </sheetViews>
  <sheetFormatPr defaultColWidth="9.140625" defaultRowHeight="12.75" customHeight="1"/>
  <cols>
    <col min="1" max="1" width="20.7109375" style="2" customWidth="1"/>
    <col min="2" max="17" width="7.28125" style="2" customWidth="1"/>
    <col min="18" max="16384" width="9.140625" style="2" customWidth="1"/>
  </cols>
  <sheetData>
    <row r="1" ht="12.75" customHeight="1">
      <c r="A1" s="1" t="s">
        <v>24</v>
      </c>
    </row>
    <row r="2" ht="12.75" customHeight="1">
      <c r="A2" s="1"/>
    </row>
    <row r="3" spans="1:18" ht="12.75" customHeight="1">
      <c r="A3"/>
      <c r="B3" s="45" t="s">
        <v>1</v>
      </c>
      <c r="C3" s="46"/>
      <c r="D3" s="45" t="s">
        <v>2</v>
      </c>
      <c r="E3" s="46"/>
      <c r="F3" s="45" t="s">
        <v>3</v>
      </c>
      <c r="G3" s="46"/>
      <c r="H3" s="45" t="s">
        <v>4</v>
      </c>
      <c r="I3" s="46"/>
      <c r="J3" s="45" t="s">
        <v>5</v>
      </c>
      <c r="K3" s="46"/>
      <c r="L3" s="118" t="s">
        <v>6</v>
      </c>
      <c r="M3" s="120"/>
      <c r="N3" s="118" t="s">
        <v>45</v>
      </c>
      <c r="O3" s="119"/>
      <c r="P3" s="105" t="s">
        <v>7</v>
      </c>
      <c r="Q3" s="46"/>
      <c r="R3" s="41" t="s">
        <v>8</v>
      </c>
    </row>
    <row r="4" spans="1:18" ht="12.75" customHeight="1">
      <c r="A4" s="6" t="s">
        <v>61</v>
      </c>
      <c r="B4" s="42" t="s">
        <v>9</v>
      </c>
      <c r="C4" s="43" t="s">
        <v>10</v>
      </c>
      <c r="D4" s="42" t="s">
        <v>9</v>
      </c>
      <c r="E4" s="43" t="s">
        <v>10</v>
      </c>
      <c r="F4" s="42" t="s">
        <v>9</v>
      </c>
      <c r="G4" s="43" t="s">
        <v>10</v>
      </c>
      <c r="H4" s="42" t="s">
        <v>9</v>
      </c>
      <c r="I4" s="43" t="s">
        <v>10</v>
      </c>
      <c r="J4" s="42" t="s">
        <v>9</v>
      </c>
      <c r="K4" s="43" t="s">
        <v>10</v>
      </c>
      <c r="L4" s="42" t="s">
        <v>9</v>
      </c>
      <c r="M4" s="115" t="s">
        <v>10</v>
      </c>
      <c r="N4" s="42" t="s">
        <v>9</v>
      </c>
      <c r="O4" s="115" t="s">
        <v>10</v>
      </c>
      <c r="P4" s="42" t="s">
        <v>9</v>
      </c>
      <c r="Q4" s="43" t="s">
        <v>10</v>
      </c>
      <c r="R4" s="44" t="s">
        <v>7</v>
      </c>
    </row>
    <row r="5" spans="1:18" ht="12.75" customHeight="1">
      <c r="A5"/>
      <c r="B5" s="3"/>
      <c r="C5" s="4"/>
      <c r="D5" s="3"/>
      <c r="E5" s="4"/>
      <c r="F5" s="3"/>
      <c r="G5" s="4"/>
      <c r="H5" s="3"/>
      <c r="I5" s="4"/>
      <c r="J5" s="3"/>
      <c r="K5" s="4"/>
      <c r="L5" s="3"/>
      <c r="M5" s="106"/>
      <c r="N5" s="3"/>
      <c r="O5" s="4"/>
      <c r="P5" s="106"/>
      <c r="Q5" s="4"/>
      <c r="R5" s="8"/>
    </row>
    <row r="6" spans="1:18" ht="12.75" customHeight="1">
      <c r="A6" s="15" t="s">
        <v>42</v>
      </c>
      <c r="B6" s="60">
        <v>4</v>
      </c>
      <c r="C6" s="61">
        <v>11</v>
      </c>
      <c r="D6" s="82">
        <v>1</v>
      </c>
      <c r="E6" s="61">
        <v>3</v>
      </c>
      <c r="F6" s="82">
        <v>0</v>
      </c>
      <c r="G6" s="61">
        <v>0</v>
      </c>
      <c r="H6" s="82">
        <v>0</v>
      </c>
      <c r="I6" s="61">
        <v>0</v>
      </c>
      <c r="J6" s="82">
        <v>0</v>
      </c>
      <c r="K6" s="61">
        <v>0</v>
      </c>
      <c r="L6" s="82">
        <v>0</v>
      </c>
      <c r="M6" s="82">
        <v>0</v>
      </c>
      <c r="N6" s="60">
        <v>0</v>
      </c>
      <c r="O6" s="61">
        <v>0</v>
      </c>
      <c r="P6" s="82">
        <f aca="true" t="shared" si="0" ref="P6:Q10">L6+J6+H6+F6+D6+B6+N6</f>
        <v>5</v>
      </c>
      <c r="Q6" s="61">
        <f t="shared" si="0"/>
        <v>14</v>
      </c>
      <c r="R6" s="61">
        <f>Q6+P6</f>
        <v>19</v>
      </c>
    </row>
    <row r="7" spans="1:18" ht="12.75" customHeight="1">
      <c r="A7" s="15" t="s">
        <v>44</v>
      </c>
      <c r="B7" s="60">
        <v>3</v>
      </c>
      <c r="C7" s="61">
        <v>16</v>
      </c>
      <c r="D7" s="82">
        <v>0</v>
      </c>
      <c r="E7" s="61">
        <v>1</v>
      </c>
      <c r="F7" s="82">
        <v>0</v>
      </c>
      <c r="G7" s="61">
        <v>1</v>
      </c>
      <c r="H7" s="82">
        <v>0</v>
      </c>
      <c r="I7" s="61">
        <v>0</v>
      </c>
      <c r="J7" s="82">
        <v>0</v>
      </c>
      <c r="K7" s="61">
        <v>0</v>
      </c>
      <c r="L7" s="82">
        <v>1</v>
      </c>
      <c r="M7" s="82">
        <v>0</v>
      </c>
      <c r="N7" s="60">
        <v>0</v>
      </c>
      <c r="O7" s="61">
        <v>0</v>
      </c>
      <c r="P7" s="82">
        <f t="shared" si="0"/>
        <v>4</v>
      </c>
      <c r="Q7" s="61">
        <f t="shared" si="0"/>
        <v>18</v>
      </c>
      <c r="R7" s="61">
        <f>Q7+P7</f>
        <v>22</v>
      </c>
    </row>
    <row r="8" spans="1:18" ht="12.75" customHeight="1">
      <c r="A8" s="15" t="s">
        <v>48</v>
      </c>
      <c r="B8" s="60">
        <v>3</v>
      </c>
      <c r="C8" s="61">
        <v>6</v>
      </c>
      <c r="D8" s="82">
        <v>1</v>
      </c>
      <c r="E8" s="61">
        <v>4</v>
      </c>
      <c r="F8" s="82">
        <v>0</v>
      </c>
      <c r="G8" s="61">
        <v>0</v>
      </c>
      <c r="H8" s="82">
        <v>1</v>
      </c>
      <c r="I8" s="61">
        <v>0</v>
      </c>
      <c r="J8" s="82">
        <v>0</v>
      </c>
      <c r="K8" s="61">
        <v>0</v>
      </c>
      <c r="L8" s="82">
        <v>0</v>
      </c>
      <c r="M8" s="82">
        <v>0</v>
      </c>
      <c r="N8" s="60">
        <v>0</v>
      </c>
      <c r="O8" s="61">
        <v>0</v>
      </c>
      <c r="P8" s="82">
        <f t="shared" si="0"/>
        <v>5</v>
      </c>
      <c r="Q8" s="61">
        <f t="shared" si="0"/>
        <v>10</v>
      </c>
      <c r="R8" s="61">
        <f>Q8+P8</f>
        <v>15</v>
      </c>
    </row>
    <row r="9" spans="1:18" ht="12.75" customHeight="1">
      <c r="A9" s="15" t="s">
        <v>50</v>
      </c>
      <c r="B9" s="60">
        <v>4</v>
      </c>
      <c r="C9" s="61">
        <v>10</v>
      </c>
      <c r="D9" s="82">
        <v>0</v>
      </c>
      <c r="E9" s="61">
        <v>2</v>
      </c>
      <c r="F9" s="82">
        <v>0</v>
      </c>
      <c r="G9" s="61">
        <v>1</v>
      </c>
      <c r="H9" s="82">
        <v>0</v>
      </c>
      <c r="I9" s="61">
        <v>1</v>
      </c>
      <c r="J9" s="82">
        <v>0</v>
      </c>
      <c r="K9" s="61">
        <v>0</v>
      </c>
      <c r="L9" s="82">
        <v>0</v>
      </c>
      <c r="M9" s="82">
        <v>0</v>
      </c>
      <c r="N9" s="60">
        <v>0</v>
      </c>
      <c r="O9" s="61">
        <v>0</v>
      </c>
      <c r="P9" s="82">
        <f t="shared" si="0"/>
        <v>4</v>
      </c>
      <c r="Q9" s="61">
        <f t="shared" si="0"/>
        <v>14</v>
      </c>
      <c r="R9" s="61">
        <f>Q9+P9</f>
        <v>18</v>
      </c>
    </row>
    <row r="10" spans="1:18" ht="12.75" customHeight="1">
      <c r="A10" s="15" t="s">
        <v>57</v>
      </c>
      <c r="B10" s="60">
        <v>9</v>
      </c>
      <c r="C10" s="61">
        <v>10</v>
      </c>
      <c r="D10" s="82">
        <v>1</v>
      </c>
      <c r="E10" s="61">
        <v>4</v>
      </c>
      <c r="F10" s="82">
        <v>0</v>
      </c>
      <c r="G10" s="61">
        <v>0</v>
      </c>
      <c r="H10" s="82">
        <v>0</v>
      </c>
      <c r="I10" s="61">
        <v>0</v>
      </c>
      <c r="J10" s="82">
        <v>0</v>
      </c>
      <c r="K10" s="61">
        <v>0</v>
      </c>
      <c r="L10" s="82">
        <v>0</v>
      </c>
      <c r="M10" s="82">
        <v>1</v>
      </c>
      <c r="N10" s="60">
        <v>1</v>
      </c>
      <c r="O10" s="61">
        <v>0</v>
      </c>
      <c r="P10" s="82">
        <f t="shared" si="0"/>
        <v>11</v>
      </c>
      <c r="Q10" s="61">
        <f t="shared" si="0"/>
        <v>15</v>
      </c>
      <c r="R10" s="61">
        <f>Q10+P10</f>
        <v>26</v>
      </c>
    </row>
    <row r="11" spans="1:18" ht="12.75" customHeight="1">
      <c r="A11" s="6"/>
      <c r="B11" s="69"/>
      <c r="C11" s="70"/>
      <c r="D11" s="81"/>
      <c r="E11" s="70"/>
      <c r="F11" s="81"/>
      <c r="G11" s="70"/>
      <c r="H11" s="81"/>
      <c r="I11" s="70"/>
      <c r="J11" s="81"/>
      <c r="K11" s="70"/>
      <c r="L11" s="81"/>
      <c r="M11" s="81"/>
      <c r="N11" s="69"/>
      <c r="O11" s="70"/>
      <c r="P11" s="81"/>
      <c r="Q11" s="70"/>
      <c r="R11" s="70"/>
    </row>
    <row r="12" ht="12.75" customHeight="1">
      <c r="A12"/>
    </row>
    <row r="13" ht="12.75" customHeight="1">
      <c r="A13"/>
    </row>
    <row r="14" spans="1:18" ht="12.75" customHeight="1">
      <c r="A14" s="6" t="s">
        <v>11</v>
      </c>
      <c r="B14" s="45" t="s">
        <v>1</v>
      </c>
      <c r="C14" s="46"/>
      <c r="D14" s="45" t="s">
        <v>2</v>
      </c>
      <c r="E14" s="46"/>
      <c r="F14" s="45" t="s">
        <v>3</v>
      </c>
      <c r="G14" s="46"/>
      <c r="H14" s="45" t="s">
        <v>4</v>
      </c>
      <c r="I14" s="46"/>
      <c r="J14" s="45" t="s">
        <v>5</v>
      </c>
      <c r="K14" s="46"/>
      <c r="L14" s="118" t="s">
        <v>6</v>
      </c>
      <c r="M14" s="120"/>
      <c r="N14" s="45" t="s">
        <v>45</v>
      </c>
      <c r="O14" s="46"/>
      <c r="P14" s="105" t="s">
        <v>7</v>
      </c>
      <c r="Q14" s="46"/>
      <c r="R14" s="41" t="s">
        <v>8</v>
      </c>
    </row>
    <row r="15" spans="1:18" ht="12.75" customHeight="1">
      <c r="A15" s="6" t="s">
        <v>12</v>
      </c>
      <c r="B15" s="42" t="s">
        <v>9</v>
      </c>
      <c r="C15" s="43" t="s">
        <v>10</v>
      </c>
      <c r="D15" s="42" t="s">
        <v>9</v>
      </c>
      <c r="E15" s="43" t="s">
        <v>10</v>
      </c>
      <c r="F15" s="42" t="s">
        <v>9</v>
      </c>
      <c r="G15" s="43" t="s">
        <v>10</v>
      </c>
      <c r="H15" s="42" t="s">
        <v>9</v>
      </c>
      <c r="I15" s="43" t="s">
        <v>10</v>
      </c>
      <c r="J15" s="42" t="s">
        <v>9</v>
      </c>
      <c r="K15" s="43" t="s">
        <v>10</v>
      </c>
      <c r="L15" s="42" t="s">
        <v>9</v>
      </c>
      <c r="M15" s="115" t="s">
        <v>10</v>
      </c>
      <c r="N15" s="42" t="s">
        <v>9</v>
      </c>
      <c r="O15" s="115" t="s">
        <v>10</v>
      </c>
      <c r="P15" s="42" t="s">
        <v>9</v>
      </c>
      <c r="Q15" s="43" t="s">
        <v>10</v>
      </c>
      <c r="R15" s="44" t="s">
        <v>7</v>
      </c>
    </row>
    <row r="16" spans="1:18" ht="12.75" customHeight="1">
      <c r="A16" s="6"/>
      <c r="B16" s="12"/>
      <c r="C16" s="13"/>
      <c r="D16" s="12"/>
      <c r="E16" s="13"/>
      <c r="F16" s="12"/>
      <c r="G16" s="13"/>
      <c r="H16" s="12"/>
      <c r="I16" s="13"/>
      <c r="J16" s="12"/>
      <c r="K16" s="13"/>
      <c r="L16" s="12"/>
      <c r="M16" s="23"/>
      <c r="N16" s="12"/>
      <c r="O16" s="13"/>
      <c r="P16" s="23"/>
      <c r="Q16" s="13"/>
      <c r="R16" s="14"/>
    </row>
    <row r="17" spans="1:18" s="16" customFormat="1" ht="12.75" customHeight="1">
      <c r="A17" s="15" t="s">
        <v>42</v>
      </c>
      <c r="B17" s="60">
        <v>23</v>
      </c>
      <c r="C17" s="61">
        <v>42</v>
      </c>
      <c r="D17" s="82">
        <v>8</v>
      </c>
      <c r="E17" s="61">
        <v>16</v>
      </c>
      <c r="F17" s="82">
        <v>0</v>
      </c>
      <c r="G17" s="61">
        <v>2</v>
      </c>
      <c r="H17" s="82">
        <v>0</v>
      </c>
      <c r="I17" s="61">
        <v>1</v>
      </c>
      <c r="J17" s="82">
        <v>0</v>
      </c>
      <c r="K17" s="61">
        <v>1</v>
      </c>
      <c r="L17" s="82">
        <v>2</v>
      </c>
      <c r="M17" s="82">
        <v>0</v>
      </c>
      <c r="N17" s="60">
        <v>0</v>
      </c>
      <c r="O17" s="61">
        <v>0</v>
      </c>
      <c r="P17" s="82">
        <f aca="true" t="shared" si="1" ref="P17:Q21">N17+L17+J17+H17+F17+D17+B17</f>
        <v>33</v>
      </c>
      <c r="Q17" s="61">
        <f t="shared" si="1"/>
        <v>62</v>
      </c>
      <c r="R17" s="61">
        <f>Q17+P17</f>
        <v>95</v>
      </c>
    </row>
    <row r="18" spans="1:18" s="16" customFormat="1" ht="12.75" customHeight="1">
      <c r="A18" s="15" t="s">
        <v>44</v>
      </c>
      <c r="B18" s="60">
        <v>21</v>
      </c>
      <c r="C18" s="61">
        <v>44</v>
      </c>
      <c r="D18" s="82">
        <v>7</v>
      </c>
      <c r="E18" s="61">
        <v>19</v>
      </c>
      <c r="F18" s="82">
        <v>0</v>
      </c>
      <c r="G18" s="61">
        <v>2</v>
      </c>
      <c r="H18" s="82">
        <v>0</v>
      </c>
      <c r="I18" s="61">
        <v>3</v>
      </c>
      <c r="J18" s="82">
        <v>0</v>
      </c>
      <c r="K18" s="61">
        <v>0</v>
      </c>
      <c r="L18" s="82">
        <v>2</v>
      </c>
      <c r="M18" s="82">
        <v>0</v>
      </c>
      <c r="N18" s="60">
        <v>0</v>
      </c>
      <c r="O18" s="61">
        <v>0</v>
      </c>
      <c r="P18" s="82">
        <f t="shared" si="1"/>
        <v>30</v>
      </c>
      <c r="Q18" s="61">
        <f t="shared" si="1"/>
        <v>68</v>
      </c>
      <c r="R18" s="61">
        <f>Q18+P18</f>
        <v>98</v>
      </c>
    </row>
    <row r="19" spans="1:18" s="16" customFormat="1" ht="12.75" customHeight="1">
      <c r="A19" s="15" t="s">
        <v>48</v>
      </c>
      <c r="B19" s="60">
        <v>20</v>
      </c>
      <c r="C19" s="61">
        <v>40</v>
      </c>
      <c r="D19" s="82">
        <v>3</v>
      </c>
      <c r="E19" s="61">
        <v>17</v>
      </c>
      <c r="F19" s="82">
        <v>0</v>
      </c>
      <c r="G19" s="61">
        <v>0</v>
      </c>
      <c r="H19" s="82">
        <v>1</v>
      </c>
      <c r="I19" s="61">
        <v>3</v>
      </c>
      <c r="J19" s="82">
        <v>1</v>
      </c>
      <c r="K19" s="61">
        <v>1</v>
      </c>
      <c r="L19" s="82">
        <v>2</v>
      </c>
      <c r="M19" s="82">
        <v>0</v>
      </c>
      <c r="N19" s="60">
        <v>0</v>
      </c>
      <c r="O19" s="61">
        <v>1</v>
      </c>
      <c r="P19" s="82">
        <f t="shared" si="1"/>
        <v>27</v>
      </c>
      <c r="Q19" s="61">
        <f t="shared" si="1"/>
        <v>62</v>
      </c>
      <c r="R19" s="61">
        <f>Q19+P19</f>
        <v>89</v>
      </c>
    </row>
    <row r="20" spans="1:18" s="16" customFormat="1" ht="12.75" customHeight="1">
      <c r="A20" s="15" t="s">
        <v>50</v>
      </c>
      <c r="B20" s="60">
        <v>28</v>
      </c>
      <c r="C20" s="61">
        <v>42</v>
      </c>
      <c r="D20" s="82">
        <v>2</v>
      </c>
      <c r="E20" s="61">
        <v>21</v>
      </c>
      <c r="F20" s="82">
        <v>0</v>
      </c>
      <c r="G20" s="61">
        <v>2</v>
      </c>
      <c r="H20" s="82">
        <v>0</v>
      </c>
      <c r="I20" s="61">
        <v>2</v>
      </c>
      <c r="J20" s="82">
        <v>1</v>
      </c>
      <c r="K20" s="61">
        <v>0</v>
      </c>
      <c r="L20" s="82">
        <v>0</v>
      </c>
      <c r="M20" s="82">
        <v>1</v>
      </c>
      <c r="N20" s="60">
        <v>0</v>
      </c>
      <c r="O20" s="61">
        <v>1</v>
      </c>
      <c r="P20" s="82">
        <f t="shared" si="1"/>
        <v>31</v>
      </c>
      <c r="Q20" s="61">
        <f t="shared" si="1"/>
        <v>69</v>
      </c>
      <c r="R20" s="61">
        <f>Q20+P20</f>
        <v>100</v>
      </c>
    </row>
    <row r="21" spans="1:18" s="16" customFormat="1" ht="12.75" customHeight="1">
      <c r="A21" s="15" t="s">
        <v>57</v>
      </c>
      <c r="B21" s="60">
        <v>27</v>
      </c>
      <c r="C21" s="61">
        <v>40</v>
      </c>
      <c r="D21" s="82">
        <v>4</v>
      </c>
      <c r="E21" s="61">
        <v>18</v>
      </c>
      <c r="F21" s="82">
        <v>0</v>
      </c>
      <c r="G21" s="61">
        <v>3</v>
      </c>
      <c r="H21" s="82">
        <v>0</v>
      </c>
      <c r="I21" s="61">
        <v>4</v>
      </c>
      <c r="J21" s="82">
        <v>0</v>
      </c>
      <c r="K21" s="61">
        <v>0</v>
      </c>
      <c r="L21" s="82">
        <v>1</v>
      </c>
      <c r="M21" s="82">
        <v>0</v>
      </c>
      <c r="N21" s="60">
        <v>1</v>
      </c>
      <c r="O21" s="61">
        <v>1</v>
      </c>
      <c r="P21" s="82">
        <f t="shared" si="1"/>
        <v>33</v>
      </c>
      <c r="Q21" s="61">
        <f t="shared" si="1"/>
        <v>66</v>
      </c>
      <c r="R21" s="61">
        <f>Q21+P21</f>
        <v>99</v>
      </c>
    </row>
    <row r="22" spans="2:18" ht="12.75" customHeight="1">
      <c r="B22" s="9"/>
      <c r="C22" s="10"/>
      <c r="D22" s="20"/>
      <c r="E22" s="10"/>
      <c r="F22" s="20"/>
      <c r="G22" s="10"/>
      <c r="H22" s="20"/>
      <c r="I22" s="10"/>
      <c r="J22" s="20"/>
      <c r="K22" s="10"/>
      <c r="L22" s="20"/>
      <c r="M22" s="20"/>
      <c r="N22" s="9"/>
      <c r="O22" s="10"/>
      <c r="P22" s="20"/>
      <c r="Q22" s="10"/>
      <c r="R22" s="10"/>
    </row>
    <row r="24" ht="12.75" customHeight="1">
      <c r="A24" s="104"/>
    </row>
    <row r="25" spans="1:15" ht="12.75" customHeight="1">
      <c r="A25" s="35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1:2" ht="12.75" customHeight="1">
      <c r="A26" s="35"/>
      <c r="B26" s="35"/>
    </row>
    <row r="41" spans="1:18" s="16" customFormat="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63" spans="1:18" s="16" customFormat="1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86" spans="1:18" s="16" customFormat="1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99" spans="1:18" s="16" customFormat="1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11" spans="1:18" s="16" customFormat="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32" spans="1:18" s="16" customFormat="1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54" spans="1:18" s="16" customFormat="1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75" spans="1:18" s="16" customFormat="1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96" spans="1:18" s="16" customFormat="1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249" spans="1:18" s="16" customFormat="1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9" spans="1:18" s="16" customFormat="1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</row>
    <row r="281" spans="1:18" s="16" customFormat="1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304" spans="1:18" s="16" customFormat="1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27" spans="1:18" s="16" customFormat="1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49" spans="1:18" s="16" customFormat="1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71" spans="1:18" s="16" customFormat="1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403" spans="1:18" s="16" customFormat="1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</row>
    <row r="413" spans="1:18" s="16" customFormat="1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</row>
    <row r="435" spans="1:18" s="16" customFormat="1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</row>
    <row r="447" spans="1:18" s="16" customFormat="1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</row>
    <row r="458" spans="1:18" s="16" customFormat="1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</row>
    <row r="471" spans="1:18" s="16" customFormat="1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</row>
    <row r="503" spans="1:18" s="16" customFormat="1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</row>
    <row r="513" spans="1:18" s="16" customFormat="1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</row>
  </sheetData>
  <mergeCells count="3">
    <mergeCell ref="L3:M3"/>
    <mergeCell ref="L14:M14"/>
    <mergeCell ref="N3:O3"/>
  </mergeCells>
  <printOptions horizontalCentered="1"/>
  <pageMargins left="0.25" right="0.25" top="1" bottom="0.75" header="0.5" footer="0.25"/>
  <pageSetup fitToHeight="1" fitToWidth="1" horizontalDpi="300" verticalDpi="300" orientation="landscape" scale="93" r:id="rId1"/>
  <headerFooter alignWithMargins="0">
    <oddHeader>&amp;CThe University of Alabama in Huntsville
Unit Academic Reports 
</oddHeader>
    <oddFooter xml:space="preserve">&amp;L&amp;8Office of Institutional Research
&amp;D (ly)
&amp;F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M672"/>
  <sheetViews>
    <sheetView workbookViewId="0" topLeftCell="A1">
      <selection activeCell="D10" sqref="D10"/>
    </sheetView>
  </sheetViews>
  <sheetFormatPr defaultColWidth="9.140625" defaultRowHeight="12.75" customHeight="1"/>
  <cols>
    <col min="1" max="1" width="22.7109375" style="35" customWidth="1"/>
    <col min="2" max="8" width="13.7109375" style="2" customWidth="1"/>
    <col min="9" max="16384" width="9.140625" style="2" customWidth="1"/>
  </cols>
  <sheetData>
    <row r="1" ht="12.75" customHeight="1">
      <c r="A1" s="1" t="s">
        <v>24</v>
      </c>
    </row>
    <row r="2" spans="6:8" ht="12.75" customHeight="1">
      <c r="F2"/>
      <c r="G2"/>
      <c r="H2"/>
    </row>
    <row r="3" spans="1:8" ht="12.75" customHeight="1">
      <c r="A3" s="6" t="s">
        <v>13</v>
      </c>
      <c r="F3"/>
      <c r="G3"/>
      <c r="H3"/>
    </row>
    <row r="4" spans="1:4" s="38" customFormat="1" ht="12.75" customHeight="1">
      <c r="A4" s="39" t="s">
        <v>11</v>
      </c>
      <c r="B4" s="47" t="s">
        <v>16</v>
      </c>
      <c r="C4" s="47" t="s">
        <v>14</v>
      </c>
      <c r="D4" s="47" t="s">
        <v>15</v>
      </c>
    </row>
    <row r="5" spans="2:7" ht="12.75" customHeight="1">
      <c r="B5" s="8"/>
      <c r="C5" s="8"/>
      <c r="D5" s="8"/>
      <c r="E5"/>
      <c r="F5"/>
      <c r="G5"/>
    </row>
    <row r="6" spans="1:7" s="16" customFormat="1" ht="12.75" customHeight="1">
      <c r="A6" s="6" t="s">
        <v>42</v>
      </c>
      <c r="B6" s="14">
        <v>49</v>
      </c>
      <c r="C6" s="14">
        <f>'CM'!R17</f>
        <v>95</v>
      </c>
      <c r="D6" s="14">
        <v>90</v>
      </c>
      <c r="E6" s="26"/>
      <c r="F6" s="26"/>
      <c r="G6" s="26"/>
    </row>
    <row r="7" spans="1:7" s="16" customFormat="1" ht="12.75" customHeight="1">
      <c r="A7" s="6" t="s">
        <v>44</v>
      </c>
      <c r="B7" s="14">
        <v>47</v>
      </c>
      <c r="C7" s="14">
        <f>'CM'!R18</f>
        <v>98</v>
      </c>
      <c r="D7" s="14">
        <v>83</v>
      </c>
      <c r="E7" s="26"/>
      <c r="F7" s="26"/>
      <c r="G7" s="26"/>
    </row>
    <row r="8" spans="1:7" s="16" customFormat="1" ht="12.75" customHeight="1">
      <c r="A8" s="6" t="s">
        <v>48</v>
      </c>
      <c r="B8" s="14">
        <v>40</v>
      </c>
      <c r="C8" s="14">
        <f>'CM'!R19</f>
        <v>89</v>
      </c>
      <c r="D8" s="14">
        <v>90</v>
      </c>
      <c r="E8" s="26"/>
      <c r="F8" s="26"/>
      <c r="G8" s="26"/>
    </row>
    <row r="9" spans="1:7" s="16" customFormat="1" ht="12.75" customHeight="1">
      <c r="A9" s="6" t="s">
        <v>50</v>
      </c>
      <c r="B9" s="14">
        <v>36</v>
      </c>
      <c r="C9" s="14">
        <f>'CM'!R20</f>
        <v>100</v>
      </c>
      <c r="D9" s="14">
        <v>96</v>
      </c>
      <c r="E9" s="26"/>
      <c r="F9" s="26"/>
      <c r="G9" s="26"/>
    </row>
    <row r="10" spans="1:7" s="16" customFormat="1" ht="12.75" customHeight="1">
      <c r="A10" s="15" t="s">
        <v>57</v>
      </c>
      <c r="B10" s="14">
        <v>49</v>
      </c>
      <c r="C10" s="14">
        <f>'CM'!R21</f>
        <v>99</v>
      </c>
      <c r="D10" s="14">
        <v>98</v>
      </c>
      <c r="E10" s="26"/>
      <c r="F10" s="26"/>
      <c r="G10" s="26"/>
    </row>
    <row r="11" spans="1:4" ht="12.75" customHeight="1">
      <c r="A11" s="6"/>
      <c r="B11" s="73"/>
      <c r="C11" s="73"/>
      <c r="D11" s="7"/>
    </row>
    <row r="13" spans="1:8" s="38" customFormat="1" ht="12.75" customHeight="1">
      <c r="A13" s="39" t="s">
        <v>56</v>
      </c>
      <c r="B13" s="48" t="s">
        <v>13</v>
      </c>
      <c r="C13" s="48" t="s">
        <v>13</v>
      </c>
      <c r="D13" s="48" t="s">
        <v>7</v>
      </c>
      <c r="E13" s="48" t="s">
        <v>17</v>
      </c>
      <c r="F13" s="48" t="s">
        <v>17</v>
      </c>
      <c r="G13" s="49" t="s">
        <v>7</v>
      </c>
      <c r="H13" s="49" t="s">
        <v>8</v>
      </c>
    </row>
    <row r="14" spans="1:8" s="38" customFormat="1" ht="12.75" customHeight="1">
      <c r="A14" s="39"/>
      <c r="B14" s="50" t="s">
        <v>18</v>
      </c>
      <c r="C14" s="50" t="s">
        <v>19</v>
      </c>
      <c r="D14" s="50" t="s">
        <v>13</v>
      </c>
      <c r="E14" s="50" t="s">
        <v>20</v>
      </c>
      <c r="F14" s="50" t="s">
        <v>21</v>
      </c>
      <c r="G14" s="51" t="s">
        <v>17</v>
      </c>
      <c r="H14" s="51" t="s">
        <v>7</v>
      </c>
    </row>
    <row r="15" spans="2:8" ht="12.75" customHeight="1">
      <c r="B15" s="3"/>
      <c r="C15" s="3"/>
      <c r="D15" s="3"/>
      <c r="E15" s="3"/>
      <c r="F15" s="3"/>
      <c r="G15" s="3"/>
      <c r="H15" s="8"/>
    </row>
    <row r="16" spans="1:8" ht="12.75" customHeight="1">
      <c r="A16" s="6" t="s">
        <v>42</v>
      </c>
      <c r="B16" s="74">
        <v>1605</v>
      </c>
      <c r="C16" s="74">
        <v>1446</v>
      </c>
      <c r="D16" s="74">
        <f>C16+B16</f>
        <v>3051</v>
      </c>
      <c r="E16" s="74">
        <v>40</v>
      </c>
      <c r="F16" s="74">
        <v>0</v>
      </c>
      <c r="G16" s="74">
        <f>F16+E16</f>
        <v>40</v>
      </c>
      <c r="H16" s="75">
        <f>G16+D16</f>
        <v>3091</v>
      </c>
    </row>
    <row r="17" spans="1:8" ht="12.75" customHeight="1">
      <c r="A17" s="6" t="s">
        <v>44</v>
      </c>
      <c r="B17" s="74">
        <v>1614</v>
      </c>
      <c r="C17" s="74">
        <v>1634</v>
      </c>
      <c r="D17" s="74">
        <f>C17+B17</f>
        <v>3248</v>
      </c>
      <c r="E17" s="74">
        <v>52</v>
      </c>
      <c r="F17" s="74">
        <v>0</v>
      </c>
      <c r="G17" s="74">
        <f>F17+E17</f>
        <v>52</v>
      </c>
      <c r="H17" s="75">
        <f>G17+D17</f>
        <v>3300</v>
      </c>
    </row>
    <row r="18" spans="1:8" ht="12.75" customHeight="1">
      <c r="A18" s="6" t="s">
        <v>48</v>
      </c>
      <c r="B18" s="74">
        <v>1839</v>
      </c>
      <c r="C18" s="74">
        <v>1785</v>
      </c>
      <c r="D18" s="74">
        <f>C18+B18</f>
        <v>3624</v>
      </c>
      <c r="E18" s="74">
        <v>54</v>
      </c>
      <c r="F18" s="74">
        <v>0</v>
      </c>
      <c r="G18" s="74">
        <f>F18+E18</f>
        <v>54</v>
      </c>
      <c r="H18" s="75">
        <f>G18+D18</f>
        <v>3678</v>
      </c>
    </row>
    <row r="19" spans="1:8" ht="12.75" customHeight="1">
      <c r="A19" s="15" t="s">
        <v>50</v>
      </c>
      <c r="B19" s="74">
        <f>243+804+774</f>
        <v>1821</v>
      </c>
      <c r="C19" s="74">
        <f>323+781+763</f>
        <v>1867</v>
      </c>
      <c r="D19" s="74">
        <f>C19+B19</f>
        <v>3688</v>
      </c>
      <c r="E19" s="74">
        <f>3+20+16</f>
        <v>39</v>
      </c>
      <c r="F19" s="74">
        <v>0</v>
      </c>
      <c r="G19" s="74">
        <f>F19+E19</f>
        <v>39</v>
      </c>
      <c r="H19" s="75">
        <f>G19+D19</f>
        <v>3727</v>
      </c>
    </row>
    <row r="20" spans="1:8" ht="12.75" customHeight="1">
      <c r="A20" s="15" t="s">
        <v>57</v>
      </c>
      <c r="B20" s="74">
        <f>264+870+870</f>
        <v>2004</v>
      </c>
      <c r="C20" s="74">
        <f>322+759+768</f>
        <v>1849</v>
      </c>
      <c r="D20" s="74">
        <f>C20+B20</f>
        <v>3853</v>
      </c>
      <c r="E20" s="74">
        <f>15+16</f>
        <v>31</v>
      </c>
      <c r="F20" s="74">
        <v>0</v>
      </c>
      <c r="G20" s="74">
        <f>F20+E20</f>
        <v>31</v>
      </c>
      <c r="H20" s="75">
        <f>G20+D20</f>
        <v>3884</v>
      </c>
    </row>
    <row r="21" spans="1:8" ht="12.75" customHeight="1">
      <c r="A21" s="6"/>
      <c r="B21" s="71"/>
      <c r="C21" s="71"/>
      <c r="D21" s="71"/>
      <c r="E21" s="71"/>
      <c r="F21" s="71"/>
      <c r="G21" s="71"/>
      <c r="H21" s="72"/>
    </row>
    <row r="22" spans="6:8" ht="12.75" customHeight="1">
      <c r="F22"/>
      <c r="G22"/>
      <c r="H22"/>
    </row>
    <row r="23" spans="1:8" s="38" customFormat="1" ht="12.75" customHeight="1">
      <c r="A23" s="39" t="s">
        <v>55</v>
      </c>
      <c r="B23" s="48" t="s">
        <v>13</v>
      </c>
      <c r="C23" s="48" t="s">
        <v>13</v>
      </c>
      <c r="D23" s="48" t="s">
        <v>7</v>
      </c>
      <c r="E23" s="48" t="s">
        <v>17</v>
      </c>
      <c r="F23" s="48" t="s">
        <v>22</v>
      </c>
      <c r="G23" s="48" t="s">
        <v>23</v>
      </c>
      <c r="H23" s="49" t="s">
        <v>8</v>
      </c>
    </row>
    <row r="24" spans="2:8" s="38" customFormat="1" ht="12.75" customHeight="1">
      <c r="B24" s="50" t="s">
        <v>18</v>
      </c>
      <c r="C24" s="50" t="s">
        <v>19</v>
      </c>
      <c r="D24" s="50" t="s">
        <v>13</v>
      </c>
      <c r="E24" s="50" t="s">
        <v>20</v>
      </c>
      <c r="F24" s="50" t="s">
        <v>21</v>
      </c>
      <c r="G24" s="50" t="s">
        <v>17</v>
      </c>
      <c r="H24" s="51" t="s">
        <v>7</v>
      </c>
    </row>
    <row r="25" spans="2:8" ht="12.75" customHeight="1">
      <c r="B25" s="12"/>
      <c r="C25" s="12"/>
      <c r="D25" s="12"/>
      <c r="E25" s="12"/>
      <c r="F25" s="12"/>
      <c r="G25" s="12"/>
      <c r="H25" s="14"/>
    </row>
    <row r="26" spans="1:8" ht="12.75" customHeight="1">
      <c r="A26" s="6" t="s">
        <v>42</v>
      </c>
      <c r="B26" s="24">
        <f>B16*0.85</f>
        <v>1364.25</v>
      </c>
      <c r="C26" s="24">
        <f>C16*1.15</f>
        <v>1662.8999999999999</v>
      </c>
      <c r="D26" s="24">
        <f>C26+B26</f>
        <v>3027.1499999999996</v>
      </c>
      <c r="E26" s="24">
        <f>E16*2.73</f>
        <v>109.2</v>
      </c>
      <c r="F26" s="24">
        <v>0</v>
      </c>
      <c r="G26" s="24">
        <f>F26+E26</f>
        <v>109.2</v>
      </c>
      <c r="H26" s="25">
        <f>G26+D26</f>
        <v>3136.3499999999995</v>
      </c>
    </row>
    <row r="27" spans="1:8" ht="12.75" customHeight="1">
      <c r="A27" s="6" t="s">
        <v>44</v>
      </c>
      <c r="B27" s="24">
        <f>B17*0.85</f>
        <v>1371.8999999999999</v>
      </c>
      <c r="C27" s="24">
        <f>C17*1.15</f>
        <v>1879.1</v>
      </c>
      <c r="D27" s="24">
        <f>C27+B27</f>
        <v>3251</v>
      </c>
      <c r="E27" s="24">
        <f>E17*2.73</f>
        <v>141.96</v>
      </c>
      <c r="F27" s="24">
        <v>0</v>
      </c>
      <c r="G27" s="24">
        <f>F27+E27</f>
        <v>141.96</v>
      </c>
      <c r="H27" s="25">
        <f>G27+D27</f>
        <v>3392.96</v>
      </c>
    </row>
    <row r="28" spans="1:8" ht="12.75" customHeight="1">
      <c r="A28" s="6" t="s">
        <v>48</v>
      </c>
      <c r="B28" s="24">
        <f>B18*0.85</f>
        <v>1563.1499999999999</v>
      </c>
      <c r="C28" s="24">
        <f>C18*1.15</f>
        <v>2052.75</v>
      </c>
      <c r="D28" s="24">
        <f>C28+B28</f>
        <v>3615.8999999999996</v>
      </c>
      <c r="E28" s="24">
        <f>E18*2.73</f>
        <v>147.42</v>
      </c>
      <c r="F28" s="24">
        <v>0</v>
      </c>
      <c r="G28" s="24">
        <f>F28+E28</f>
        <v>147.42</v>
      </c>
      <c r="H28" s="25">
        <f>G28+D28</f>
        <v>3763.3199999999997</v>
      </c>
    </row>
    <row r="29" spans="1:8" ht="12.75" customHeight="1">
      <c r="A29" s="15" t="s">
        <v>50</v>
      </c>
      <c r="B29" s="24">
        <f>B19*0.85</f>
        <v>1547.85</v>
      </c>
      <c r="C29" s="24">
        <f>C19*1.15</f>
        <v>2147.0499999999997</v>
      </c>
      <c r="D29" s="24">
        <f>C29+B29</f>
        <v>3694.8999999999996</v>
      </c>
      <c r="E29" s="24">
        <f>E19*2.73</f>
        <v>106.47</v>
      </c>
      <c r="F29" s="24">
        <v>0</v>
      </c>
      <c r="G29" s="24">
        <f>F29+E29</f>
        <v>106.47</v>
      </c>
      <c r="H29" s="25">
        <f>G29+D29</f>
        <v>3801.3699999999994</v>
      </c>
    </row>
    <row r="30" spans="1:8" ht="12.75" customHeight="1">
      <c r="A30" s="15" t="s">
        <v>57</v>
      </c>
      <c r="B30" s="24">
        <f>B20*0.85</f>
        <v>1703.3999999999999</v>
      </c>
      <c r="C30" s="24">
        <f>C20*1.15</f>
        <v>2126.35</v>
      </c>
      <c r="D30" s="24">
        <f>C30+B30</f>
        <v>3829.75</v>
      </c>
      <c r="E30" s="24">
        <f>E20*2.73</f>
        <v>84.63</v>
      </c>
      <c r="F30" s="24">
        <v>0</v>
      </c>
      <c r="G30" s="24">
        <f>F30+E30</f>
        <v>84.63</v>
      </c>
      <c r="H30" s="25">
        <f>G30+D30</f>
        <v>3914.38</v>
      </c>
    </row>
    <row r="31" spans="2:8" ht="12.75" customHeight="1">
      <c r="B31" s="9"/>
      <c r="C31" s="9"/>
      <c r="D31" s="9"/>
      <c r="E31" s="9"/>
      <c r="F31" s="9"/>
      <c r="G31" s="9"/>
      <c r="H31" s="11"/>
    </row>
    <row r="33" ht="12.75" customHeight="1">
      <c r="A33" s="95" t="s">
        <v>58</v>
      </c>
    </row>
    <row r="40" spans="1:13" s="16" customFormat="1" ht="12.75" customHeight="1">
      <c r="A40" s="3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53" spans="1:13" s="16" customFormat="1" ht="12.75" customHeight="1">
      <c r="A53" s="35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86" spans="1:13" s="16" customFormat="1" ht="12.75" customHeight="1">
      <c r="A86" s="35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112" spans="1:13" s="16" customFormat="1" ht="12.75" customHeight="1">
      <c r="A112" s="35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23" spans="1:13" s="16" customFormat="1" ht="12.75" customHeight="1">
      <c r="A123" s="35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32" spans="1:13" s="16" customFormat="1" ht="12.75" customHeight="1">
      <c r="A132" s="35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85" spans="1:13" s="16" customFormat="1" ht="12.75" customHeight="1">
      <c r="A185" s="35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96" spans="1:13" s="16" customFormat="1" ht="12.75" customHeight="1">
      <c r="A196" s="35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229" spans="1:13" s="16" customFormat="1" ht="12.75" customHeight="1">
      <c r="A229" s="35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332" spans="1:13" s="16" customFormat="1" ht="12.75" customHeight="1">
      <c r="A332" s="35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66" spans="1:13" s="16" customFormat="1" ht="12.75" customHeight="1">
      <c r="A366" s="35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77" spans="1:13" s="16" customFormat="1" ht="12.75" customHeight="1">
      <c r="A377" s="35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86" spans="1:13" s="16" customFormat="1" ht="12.75" customHeight="1">
      <c r="A386" s="35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420" spans="1:13" s="16" customFormat="1" ht="12.75" customHeight="1">
      <c r="A420" s="35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53" spans="1:13" s="16" customFormat="1" ht="12.75" customHeight="1">
      <c r="A453" s="35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</row>
    <row r="487" spans="1:13" s="16" customFormat="1" ht="12.75" customHeight="1">
      <c r="A487" s="35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</row>
    <row r="520" spans="1:13" s="16" customFormat="1" ht="12.75" customHeight="1">
      <c r="A520" s="35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</row>
    <row r="575" spans="1:13" s="16" customFormat="1" ht="12.75" customHeight="1">
      <c r="A575" s="35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</row>
    <row r="607" spans="1:13" s="16" customFormat="1" ht="12.75" customHeight="1">
      <c r="A607" s="35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</row>
    <row r="618" spans="1:13" s="16" customFormat="1" ht="12.75" customHeight="1">
      <c r="A618" s="35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</row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51" spans="1:13" s="16" customFormat="1" ht="12.75" customHeight="1">
      <c r="A651" s="35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</row>
    <row r="663" spans="1:13" s="16" customFormat="1" ht="12.75" customHeight="1">
      <c r="A663" s="35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</row>
    <row r="672" spans="1:13" s="16" customFormat="1" ht="12.75" customHeight="1">
      <c r="A672" s="35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 xml:space="preserve">&amp;L&amp;8Office of Institutional Research
&amp;D (ly)
&amp;F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workbookViewId="0" topLeftCell="A1">
      <selection activeCell="D21" sqref="D21"/>
    </sheetView>
  </sheetViews>
  <sheetFormatPr defaultColWidth="9.140625" defaultRowHeight="12.75"/>
  <cols>
    <col min="1" max="1" width="22.7109375" style="0" customWidth="1"/>
    <col min="2" max="10" width="7.28125" style="0" customWidth="1"/>
    <col min="11" max="11" width="7.00390625" style="0" bestFit="1" customWidth="1"/>
    <col min="12" max="18" width="7.28125" style="0" customWidth="1"/>
  </cols>
  <sheetData>
    <row r="1" spans="1:4" ht="12.75">
      <c r="A1" s="88" t="s">
        <v>41</v>
      </c>
      <c r="B1" s="88"/>
      <c r="C1" s="88"/>
      <c r="D1" s="88"/>
    </row>
    <row r="3" spans="1:4" ht="12.75">
      <c r="A3" s="6" t="s">
        <v>17</v>
      </c>
      <c r="B3" s="2"/>
      <c r="C3" s="2"/>
      <c r="D3" s="2"/>
    </row>
    <row r="4" spans="1:7" ht="12.75">
      <c r="A4" s="39" t="s">
        <v>11</v>
      </c>
      <c r="B4" s="47" t="s">
        <v>16</v>
      </c>
      <c r="C4" s="47" t="s">
        <v>14</v>
      </c>
      <c r="D4" s="47" t="s">
        <v>15</v>
      </c>
      <c r="G4" s="96"/>
    </row>
    <row r="5" spans="1:4" ht="12.75">
      <c r="A5" s="35"/>
      <c r="B5" s="8"/>
      <c r="C5" s="8"/>
      <c r="D5" s="8"/>
    </row>
    <row r="6" spans="1:4" ht="12.75">
      <c r="A6" s="6" t="s">
        <v>42</v>
      </c>
      <c r="B6" s="99">
        <v>0</v>
      </c>
      <c r="C6" s="100">
        <f>+R28</f>
        <v>5</v>
      </c>
      <c r="D6" s="101">
        <v>3</v>
      </c>
    </row>
    <row r="7" spans="1:4" ht="12.75">
      <c r="A7" s="6" t="s">
        <v>44</v>
      </c>
      <c r="B7" s="99">
        <v>0</v>
      </c>
      <c r="C7" s="100">
        <f>+R29</f>
        <v>7</v>
      </c>
      <c r="D7" s="101">
        <v>7</v>
      </c>
    </row>
    <row r="8" spans="1:4" ht="12.75">
      <c r="A8" s="6" t="s">
        <v>48</v>
      </c>
      <c r="B8" s="100">
        <v>3</v>
      </c>
      <c r="C8" s="100">
        <f>+R30</f>
        <v>5</v>
      </c>
      <c r="D8" s="101">
        <v>4</v>
      </c>
    </row>
    <row r="9" spans="1:4" ht="12.75">
      <c r="A9" s="6" t="s">
        <v>50</v>
      </c>
      <c r="B9" s="100">
        <v>0</v>
      </c>
      <c r="C9" s="100">
        <f>+R31</f>
        <v>2</v>
      </c>
      <c r="D9" s="101">
        <v>2</v>
      </c>
    </row>
    <row r="10" spans="1:4" ht="12.75">
      <c r="A10" s="15" t="s">
        <v>57</v>
      </c>
      <c r="B10" s="100">
        <v>0</v>
      </c>
      <c r="C10" s="100">
        <f>+R32</f>
        <v>4</v>
      </c>
      <c r="D10" s="101">
        <v>0</v>
      </c>
    </row>
    <row r="11" spans="1:4" ht="12.75">
      <c r="A11" s="35"/>
      <c r="B11" s="9"/>
      <c r="C11" s="9"/>
      <c r="D11" s="11"/>
    </row>
    <row r="13" spans="2:18" ht="12.7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2.75">
      <c r="A14" s="6" t="s">
        <v>63</v>
      </c>
      <c r="B14" s="45" t="s">
        <v>1</v>
      </c>
      <c r="C14" s="46"/>
      <c r="D14" s="45" t="s">
        <v>2</v>
      </c>
      <c r="E14" s="46"/>
      <c r="F14" s="45" t="s">
        <v>3</v>
      </c>
      <c r="G14" s="46"/>
      <c r="H14" s="45" t="s">
        <v>4</v>
      </c>
      <c r="I14" s="46"/>
      <c r="J14" s="45" t="s">
        <v>5</v>
      </c>
      <c r="K14" s="46"/>
      <c r="L14" s="118" t="s">
        <v>6</v>
      </c>
      <c r="M14" s="119"/>
      <c r="N14" s="105" t="s">
        <v>45</v>
      </c>
      <c r="O14" s="105"/>
      <c r="P14" s="45" t="s">
        <v>7</v>
      </c>
      <c r="Q14" s="46"/>
      <c r="R14" s="41" t="s">
        <v>8</v>
      </c>
    </row>
    <row r="15" spans="2:18" ht="12.75">
      <c r="B15" s="42" t="s">
        <v>9</v>
      </c>
      <c r="C15" s="43" t="s">
        <v>10</v>
      </c>
      <c r="D15" s="42" t="s">
        <v>9</v>
      </c>
      <c r="E15" s="43" t="s">
        <v>10</v>
      </c>
      <c r="F15" s="42" t="s">
        <v>9</v>
      </c>
      <c r="G15" s="43" t="s">
        <v>10</v>
      </c>
      <c r="H15" s="42" t="s">
        <v>9</v>
      </c>
      <c r="I15" s="43" t="s">
        <v>10</v>
      </c>
      <c r="J15" s="42" t="s">
        <v>9</v>
      </c>
      <c r="K15" s="43" t="s">
        <v>10</v>
      </c>
      <c r="L15" s="42" t="s">
        <v>9</v>
      </c>
      <c r="M15" s="43" t="s">
        <v>10</v>
      </c>
      <c r="N15" s="42" t="s">
        <v>9</v>
      </c>
      <c r="O15" s="43" t="s">
        <v>10</v>
      </c>
      <c r="P15" s="42" t="s">
        <v>9</v>
      </c>
      <c r="Q15" s="43" t="s">
        <v>10</v>
      </c>
      <c r="R15" s="44" t="s">
        <v>7</v>
      </c>
    </row>
    <row r="16" spans="1:18" ht="12.75">
      <c r="A16" s="6"/>
      <c r="B16" s="21"/>
      <c r="C16" s="22"/>
      <c r="D16" s="21"/>
      <c r="E16" s="22"/>
      <c r="F16" s="21"/>
      <c r="G16" s="22"/>
      <c r="H16" s="21"/>
      <c r="I16" s="22"/>
      <c r="J16" s="21"/>
      <c r="K16" s="22"/>
      <c r="L16" s="21"/>
      <c r="M16" s="107"/>
      <c r="N16" s="12"/>
      <c r="O16" s="23"/>
      <c r="P16" s="12"/>
      <c r="Q16" s="13"/>
      <c r="R16" s="14"/>
    </row>
    <row r="17" spans="1:18" ht="12.75">
      <c r="A17" s="6" t="s">
        <v>42</v>
      </c>
      <c r="B17" s="108">
        <v>1</v>
      </c>
      <c r="C17" s="109">
        <v>0</v>
      </c>
      <c r="D17" s="108">
        <v>1</v>
      </c>
      <c r="E17" s="109">
        <v>0</v>
      </c>
      <c r="F17" s="108">
        <v>0</v>
      </c>
      <c r="G17" s="110">
        <v>0</v>
      </c>
      <c r="H17" s="108">
        <v>0</v>
      </c>
      <c r="I17" s="110">
        <v>0</v>
      </c>
      <c r="J17" s="108">
        <v>0</v>
      </c>
      <c r="K17" s="110">
        <v>0</v>
      </c>
      <c r="L17" s="108">
        <v>0</v>
      </c>
      <c r="M17" s="110">
        <v>0</v>
      </c>
      <c r="N17" s="108">
        <v>0</v>
      </c>
      <c r="O17" s="110">
        <v>0</v>
      </c>
      <c r="P17" s="63">
        <f aca="true" t="shared" si="0" ref="P17:Q21">SUM(L17,J17,H17,F17,D17,B17)</f>
        <v>2</v>
      </c>
      <c r="Q17" s="64">
        <f t="shared" si="0"/>
        <v>0</v>
      </c>
      <c r="R17" s="66">
        <f>SUM(P17:Q17)</f>
        <v>2</v>
      </c>
    </row>
    <row r="18" spans="1:18" ht="12.75">
      <c r="A18" s="39" t="s">
        <v>44</v>
      </c>
      <c r="B18" s="108">
        <v>1</v>
      </c>
      <c r="C18" s="109">
        <v>3</v>
      </c>
      <c r="D18" s="108">
        <v>0</v>
      </c>
      <c r="E18" s="109">
        <v>0</v>
      </c>
      <c r="F18" s="108">
        <v>0</v>
      </c>
      <c r="G18" s="110">
        <v>0</v>
      </c>
      <c r="H18" s="108">
        <v>0</v>
      </c>
      <c r="I18" s="110">
        <v>0</v>
      </c>
      <c r="J18" s="108">
        <v>0</v>
      </c>
      <c r="K18" s="110">
        <v>0</v>
      </c>
      <c r="L18" s="108">
        <v>0</v>
      </c>
      <c r="M18" s="110">
        <v>0</v>
      </c>
      <c r="N18" s="108">
        <v>0</v>
      </c>
      <c r="O18" s="110">
        <v>0</v>
      </c>
      <c r="P18" s="63">
        <f t="shared" si="0"/>
        <v>1</v>
      </c>
      <c r="Q18" s="64">
        <f t="shared" si="0"/>
        <v>3</v>
      </c>
      <c r="R18" s="66">
        <f>SUM(P18:Q18)</f>
        <v>4</v>
      </c>
    </row>
    <row r="19" spans="1:18" ht="12.75">
      <c r="A19" s="39" t="s">
        <v>48</v>
      </c>
      <c r="B19" s="108">
        <v>0</v>
      </c>
      <c r="C19" s="109">
        <v>4</v>
      </c>
      <c r="D19" s="108">
        <v>0</v>
      </c>
      <c r="E19" s="109">
        <v>1</v>
      </c>
      <c r="F19" s="108">
        <v>0</v>
      </c>
      <c r="G19" s="110">
        <v>0</v>
      </c>
      <c r="H19" s="108">
        <v>0</v>
      </c>
      <c r="I19" s="110">
        <v>0</v>
      </c>
      <c r="J19" s="108">
        <v>0</v>
      </c>
      <c r="K19" s="110">
        <v>0</v>
      </c>
      <c r="L19" s="108">
        <v>0</v>
      </c>
      <c r="M19" s="110">
        <v>0</v>
      </c>
      <c r="N19" s="108">
        <v>0</v>
      </c>
      <c r="O19" s="110">
        <v>0</v>
      </c>
      <c r="P19" s="63">
        <f t="shared" si="0"/>
        <v>0</v>
      </c>
      <c r="Q19" s="64">
        <f t="shared" si="0"/>
        <v>5</v>
      </c>
      <c r="R19" s="66">
        <f>SUM(P19:Q19)</f>
        <v>5</v>
      </c>
    </row>
    <row r="20" spans="1:18" ht="12.75">
      <c r="A20" s="15" t="s">
        <v>50</v>
      </c>
      <c r="B20" s="108">
        <v>1</v>
      </c>
      <c r="C20" s="109">
        <v>2</v>
      </c>
      <c r="D20" s="108">
        <v>0</v>
      </c>
      <c r="E20" s="109">
        <v>0</v>
      </c>
      <c r="F20" s="108">
        <v>0</v>
      </c>
      <c r="G20" s="110">
        <v>0</v>
      </c>
      <c r="H20" s="108">
        <v>0</v>
      </c>
      <c r="I20" s="110">
        <v>0</v>
      </c>
      <c r="J20" s="108">
        <v>0</v>
      </c>
      <c r="K20" s="110">
        <v>0</v>
      </c>
      <c r="L20" s="108">
        <v>0</v>
      </c>
      <c r="M20" s="110">
        <v>0</v>
      </c>
      <c r="N20" s="108">
        <v>0</v>
      </c>
      <c r="O20" s="110">
        <v>0</v>
      </c>
      <c r="P20" s="63">
        <f t="shared" si="0"/>
        <v>1</v>
      </c>
      <c r="Q20" s="64">
        <f t="shared" si="0"/>
        <v>2</v>
      </c>
      <c r="R20" s="66">
        <f>SUM(P20:Q20)</f>
        <v>3</v>
      </c>
    </row>
    <row r="21" spans="1:18" ht="12.75">
      <c r="A21" s="15" t="s">
        <v>57</v>
      </c>
      <c r="B21" s="108">
        <v>1</v>
      </c>
      <c r="C21" s="109">
        <v>2</v>
      </c>
      <c r="D21" s="108">
        <v>0</v>
      </c>
      <c r="E21" s="109">
        <v>1</v>
      </c>
      <c r="F21" s="108">
        <v>0</v>
      </c>
      <c r="G21" s="110">
        <v>0</v>
      </c>
      <c r="H21" s="108">
        <v>0</v>
      </c>
      <c r="I21" s="110">
        <v>0</v>
      </c>
      <c r="J21" s="108">
        <v>0</v>
      </c>
      <c r="K21" s="110">
        <v>0</v>
      </c>
      <c r="L21" s="108">
        <v>0</v>
      </c>
      <c r="M21" s="110">
        <v>0</v>
      </c>
      <c r="N21" s="108">
        <v>0</v>
      </c>
      <c r="O21" s="110">
        <v>0</v>
      </c>
      <c r="P21" s="63">
        <f t="shared" si="0"/>
        <v>1</v>
      </c>
      <c r="Q21" s="64">
        <f t="shared" si="0"/>
        <v>3</v>
      </c>
      <c r="R21" s="66">
        <f>SUM(P21:Q21)</f>
        <v>4</v>
      </c>
    </row>
    <row r="22" spans="1:18" ht="12.75">
      <c r="A22" s="2"/>
      <c r="B22" s="9"/>
      <c r="C22" s="20"/>
      <c r="D22" s="9"/>
      <c r="E22" s="20"/>
      <c r="F22" s="9"/>
      <c r="G22" s="20"/>
      <c r="H22" s="9"/>
      <c r="I22" s="20"/>
      <c r="J22" s="9"/>
      <c r="K22" s="20"/>
      <c r="L22" s="9"/>
      <c r="M22" s="20"/>
      <c r="N22" s="9"/>
      <c r="O22" s="20"/>
      <c r="P22" s="9"/>
      <c r="Q22" s="20"/>
      <c r="R22" s="11"/>
    </row>
    <row r="24" ht="12.75">
      <c r="A24" s="6" t="s">
        <v>17</v>
      </c>
    </row>
    <row r="25" spans="1:18" ht="12.75">
      <c r="A25" s="6" t="s">
        <v>11</v>
      </c>
      <c r="B25" s="45" t="s">
        <v>1</v>
      </c>
      <c r="C25" s="46"/>
      <c r="D25" s="45" t="s">
        <v>2</v>
      </c>
      <c r="E25" s="46"/>
      <c r="F25" s="45" t="s">
        <v>3</v>
      </c>
      <c r="G25" s="46"/>
      <c r="H25" s="45" t="s">
        <v>4</v>
      </c>
      <c r="I25" s="46"/>
      <c r="J25" s="45" t="s">
        <v>5</v>
      </c>
      <c r="K25" s="46"/>
      <c r="L25" s="118" t="s">
        <v>6</v>
      </c>
      <c r="M25" s="119"/>
      <c r="N25" s="105" t="s">
        <v>45</v>
      </c>
      <c r="O25" s="105"/>
      <c r="P25" s="45" t="s">
        <v>7</v>
      </c>
      <c r="Q25" s="46"/>
      <c r="R25" s="41" t="s">
        <v>8</v>
      </c>
    </row>
    <row r="26" spans="1:18" ht="12.75">
      <c r="A26" s="6" t="s">
        <v>12</v>
      </c>
      <c r="B26" s="42" t="s">
        <v>9</v>
      </c>
      <c r="C26" s="43" t="s">
        <v>10</v>
      </c>
      <c r="D26" s="42" t="s">
        <v>9</v>
      </c>
      <c r="E26" s="43" t="s">
        <v>10</v>
      </c>
      <c r="F26" s="42" t="s">
        <v>9</v>
      </c>
      <c r="G26" s="43" t="s">
        <v>10</v>
      </c>
      <c r="H26" s="42" t="s">
        <v>9</v>
      </c>
      <c r="I26" s="43" t="s">
        <v>10</v>
      </c>
      <c r="J26" s="42" t="s">
        <v>9</v>
      </c>
      <c r="K26" s="43" t="s">
        <v>10</v>
      </c>
      <c r="L26" s="42" t="s">
        <v>9</v>
      </c>
      <c r="M26" s="43" t="s">
        <v>10</v>
      </c>
      <c r="N26" s="42" t="s">
        <v>9</v>
      </c>
      <c r="O26" s="43" t="s">
        <v>10</v>
      </c>
      <c r="P26" s="42" t="s">
        <v>9</v>
      </c>
      <c r="Q26" s="43" t="s">
        <v>10</v>
      </c>
      <c r="R26" s="44" t="s">
        <v>7</v>
      </c>
    </row>
    <row r="27" spans="1:18" ht="12.75">
      <c r="A27" s="6"/>
      <c r="B27" s="21"/>
      <c r="C27" s="22"/>
      <c r="D27" s="21"/>
      <c r="E27" s="22"/>
      <c r="F27" s="21"/>
      <c r="G27" s="22"/>
      <c r="H27" s="21"/>
      <c r="I27" s="22"/>
      <c r="J27" s="21"/>
      <c r="K27" s="22"/>
      <c r="L27" s="21"/>
      <c r="M27" s="22"/>
      <c r="N27" s="23"/>
      <c r="O27" s="23"/>
      <c r="P27" s="12"/>
      <c r="Q27" s="13"/>
      <c r="R27" s="14"/>
    </row>
    <row r="28" spans="1:18" ht="12.75">
      <c r="A28" s="6" t="s">
        <v>42</v>
      </c>
      <c r="B28" s="63">
        <v>2</v>
      </c>
      <c r="C28" s="64">
        <v>3</v>
      </c>
      <c r="D28" s="63">
        <v>0</v>
      </c>
      <c r="E28" s="64">
        <v>0</v>
      </c>
      <c r="F28" s="63">
        <v>0</v>
      </c>
      <c r="G28" s="64">
        <v>0</v>
      </c>
      <c r="H28" s="63">
        <v>0</v>
      </c>
      <c r="I28" s="64">
        <v>0</v>
      </c>
      <c r="J28" s="63">
        <v>0</v>
      </c>
      <c r="K28" s="64">
        <v>0</v>
      </c>
      <c r="L28" s="63">
        <v>0</v>
      </c>
      <c r="M28" s="65">
        <v>0</v>
      </c>
      <c r="N28" s="63">
        <v>0</v>
      </c>
      <c r="O28" s="65">
        <v>0</v>
      </c>
      <c r="P28" s="63">
        <f aca="true" t="shared" si="1" ref="P28:Q32">SUM(L28,J28,H28,F28,D28,B28)</f>
        <v>2</v>
      </c>
      <c r="Q28" s="64">
        <f t="shared" si="1"/>
        <v>3</v>
      </c>
      <c r="R28" s="66">
        <f>SUM(Q28,P28)</f>
        <v>5</v>
      </c>
    </row>
    <row r="29" spans="1:18" ht="12.75">
      <c r="A29" s="6" t="s">
        <v>44</v>
      </c>
      <c r="B29" s="63">
        <v>2</v>
      </c>
      <c r="C29" s="64">
        <v>4</v>
      </c>
      <c r="D29" s="63">
        <v>0</v>
      </c>
      <c r="E29" s="64">
        <v>1</v>
      </c>
      <c r="F29" s="63">
        <v>0</v>
      </c>
      <c r="G29" s="64">
        <v>0</v>
      </c>
      <c r="H29" s="63">
        <v>0</v>
      </c>
      <c r="I29" s="64">
        <v>0</v>
      </c>
      <c r="J29" s="63">
        <v>0</v>
      </c>
      <c r="K29" s="64">
        <v>0</v>
      </c>
      <c r="L29" s="63">
        <v>0</v>
      </c>
      <c r="M29" s="65">
        <v>0</v>
      </c>
      <c r="N29" s="63">
        <v>0</v>
      </c>
      <c r="O29" s="65">
        <v>0</v>
      </c>
      <c r="P29" s="63">
        <f t="shared" si="1"/>
        <v>2</v>
      </c>
      <c r="Q29" s="64">
        <f t="shared" si="1"/>
        <v>5</v>
      </c>
      <c r="R29" s="66">
        <f>SUM(Q29,P29)</f>
        <v>7</v>
      </c>
    </row>
    <row r="30" spans="1:18" ht="12.75">
      <c r="A30" s="6" t="s">
        <v>48</v>
      </c>
      <c r="B30" s="63">
        <v>1</v>
      </c>
      <c r="C30" s="64">
        <v>4</v>
      </c>
      <c r="D30" s="63">
        <v>0</v>
      </c>
      <c r="E30" s="64">
        <v>0</v>
      </c>
      <c r="F30" s="63">
        <v>0</v>
      </c>
      <c r="G30" s="64">
        <v>0</v>
      </c>
      <c r="H30" s="63">
        <v>0</v>
      </c>
      <c r="I30" s="64">
        <v>0</v>
      </c>
      <c r="J30" s="63">
        <v>0</v>
      </c>
      <c r="K30" s="64">
        <v>0</v>
      </c>
      <c r="L30" s="63">
        <v>0</v>
      </c>
      <c r="M30" s="65">
        <v>0</v>
      </c>
      <c r="N30" s="63">
        <v>0</v>
      </c>
      <c r="O30" s="65">
        <v>0</v>
      </c>
      <c r="P30" s="63">
        <f t="shared" si="1"/>
        <v>1</v>
      </c>
      <c r="Q30" s="64">
        <f t="shared" si="1"/>
        <v>4</v>
      </c>
      <c r="R30" s="66">
        <f>SUM(Q30,P30)</f>
        <v>5</v>
      </c>
    </row>
    <row r="31" spans="1:18" ht="12.75">
      <c r="A31" s="15" t="s">
        <v>50</v>
      </c>
      <c r="B31" s="63">
        <v>0</v>
      </c>
      <c r="C31" s="64">
        <v>2</v>
      </c>
      <c r="D31" s="63">
        <v>0</v>
      </c>
      <c r="E31" s="64">
        <v>0</v>
      </c>
      <c r="F31" s="63">
        <v>0</v>
      </c>
      <c r="G31" s="64">
        <v>0</v>
      </c>
      <c r="H31" s="63">
        <v>0</v>
      </c>
      <c r="I31" s="64">
        <v>0</v>
      </c>
      <c r="J31" s="63">
        <v>0</v>
      </c>
      <c r="K31" s="64">
        <v>0</v>
      </c>
      <c r="L31" s="63">
        <v>0</v>
      </c>
      <c r="M31" s="65">
        <v>0</v>
      </c>
      <c r="N31" s="63">
        <v>0</v>
      </c>
      <c r="O31" s="65">
        <v>0</v>
      </c>
      <c r="P31" s="63">
        <f t="shared" si="1"/>
        <v>0</v>
      </c>
      <c r="Q31" s="64">
        <f t="shared" si="1"/>
        <v>2</v>
      </c>
      <c r="R31" s="66">
        <f>SUM(Q31,P31)</f>
        <v>2</v>
      </c>
    </row>
    <row r="32" spans="1:18" ht="12.75">
      <c r="A32" s="15" t="s">
        <v>57</v>
      </c>
      <c r="B32" s="63">
        <v>1</v>
      </c>
      <c r="C32" s="64">
        <v>3</v>
      </c>
      <c r="D32" s="63">
        <v>0</v>
      </c>
      <c r="E32" s="64">
        <v>0</v>
      </c>
      <c r="F32" s="63">
        <v>0</v>
      </c>
      <c r="G32" s="64">
        <v>0</v>
      </c>
      <c r="H32" s="63">
        <v>0</v>
      </c>
      <c r="I32" s="64">
        <v>0</v>
      </c>
      <c r="J32" s="63">
        <v>0</v>
      </c>
      <c r="K32" s="64">
        <v>0</v>
      </c>
      <c r="L32" s="63">
        <v>0</v>
      </c>
      <c r="M32" s="65">
        <v>0</v>
      </c>
      <c r="N32" s="63">
        <v>0</v>
      </c>
      <c r="O32" s="65">
        <v>0</v>
      </c>
      <c r="P32" s="63">
        <f t="shared" si="1"/>
        <v>1</v>
      </c>
      <c r="Q32" s="64">
        <f t="shared" si="1"/>
        <v>3</v>
      </c>
      <c r="R32" s="66">
        <f>SUM(Q32,P32)</f>
        <v>4</v>
      </c>
    </row>
    <row r="33" spans="2:18" ht="12.75">
      <c r="B33" s="9"/>
      <c r="C33" s="20"/>
      <c r="D33" s="9"/>
      <c r="E33" s="20"/>
      <c r="F33" s="9"/>
      <c r="G33" s="20"/>
      <c r="H33" s="9"/>
      <c r="I33" s="20"/>
      <c r="J33" s="9"/>
      <c r="K33" s="20"/>
      <c r="L33" s="9"/>
      <c r="M33" s="20"/>
      <c r="N33" s="9"/>
      <c r="O33" s="20"/>
      <c r="P33" s="9"/>
      <c r="Q33" s="20"/>
      <c r="R33" s="11"/>
    </row>
    <row r="35" ht="12.75">
      <c r="A35" s="35"/>
    </row>
    <row r="36" spans="1:2" ht="12.75">
      <c r="A36" s="35"/>
      <c r="B36" s="35"/>
    </row>
    <row r="37" ht="12.75">
      <c r="A37" s="38"/>
    </row>
  </sheetData>
  <mergeCells count="2">
    <mergeCell ref="L14:M14"/>
    <mergeCell ref="L25:M25"/>
  </mergeCells>
  <printOptions horizontalCentered="1"/>
  <pageMargins left="0.25" right="0.25" top="1" bottom="0.75" header="0.5" footer="0.25"/>
  <pageSetup fitToHeight="1" fitToWidth="1" horizontalDpi="300" verticalDpi="300" orientation="landscape" scale="93" r:id="rId1"/>
  <headerFooter alignWithMargins="0">
    <oddHeader>&amp;CThe University of Alabama in Huntsville
Unit Academic Reports 
</oddHeader>
    <oddFooter xml:space="preserve">&amp;L&amp;8Office of Institutional Research
&amp;D (ly)
&amp;F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R447"/>
  <sheetViews>
    <sheetView workbookViewId="0" topLeftCell="A1">
      <selection activeCell="F10" sqref="F10"/>
    </sheetView>
  </sheetViews>
  <sheetFormatPr defaultColWidth="9.140625" defaultRowHeight="12.75" customHeight="1"/>
  <cols>
    <col min="1" max="1" width="20.7109375" style="2" customWidth="1"/>
    <col min="2" max="17" width="7.28125" style="2" customWidth="1"/>
    <col min="18" max="16384" width="9.140625" style="2" customWidth="1"/>
  </cols>
  <sheetData>
    <row r="1" ht="12.75" customHeight="1">
      <c r="A1" s="1" t="s">
        <v>25</v>
      </c>
    </row>
    <row r="2" ht="12.75" customHeight="1">
      <c r="A2" s="1"/>
    </row>
    <row r="3" spans="1:18" ht="12.75" customHeight="1">
      <c r="A3"/>
      <c r="B3" s="45" t="s">
        <v>1</v>
      </c>
      <c r="C3" s="46"/>
      <c r="D3" s="45" t="s">
        <v>2</v>
      </c>
      <c r="E3" s="46"/>
      <c r="F3" s="45" t="s">
        <v>3</v>
      </c>
      <c r="G3" s="46"/>
      <c r="H3" s="45" t="s">
        <v>4</v>
      </c>
      <c r="I3" s="46"/>
      <c r="J3" s="45" t="s">
        <v>5</v>
      </c>
      <c r="K3" s="46"/>
      <c r="L3" s="45" t="s">
        <v>6</v>
      </c>
      <c r="M3" s="46"/>
      <c r="N3" s="118" t="s">
        <v>45</v>
      </c>
      <c r="O3" s="119"/>
      <c r="P3" s="45" t="s">
        <v>7</v>
      </c>
      <c r="Q3" s="46"/>
      <c r="R3" s="41" t="s">
        <v>8</v>
      </c>
    </row>
    <row r="4" spans="1:18" ht="12.75" customHeight="1">
      <c r="A4" s="6" t="s">
        <v>61</v>
      </c>
      <c r="B4" s="42" t="s">
        <v>9</v>
      </c>
      <c r="C4" s="43" t="s">
        <v>10</v>
      </c>
      <c r="D4" s="42" t="s">
        <v>9</v>
      </c>
      <c r="E4" s="43" t="s">
        <v>10</v>
      </c>
      <c r="F4" s="42" t="s">
        <v>9</v>
      </c>
      <c r="G4" s="43" t="s">
        <v>10</v>
      </c>
      <c r="H4" s="42" t="s">
        <v>9</v>
      </c>
      <c r="I4" s="43" t="s">
        <v>10</v>
      </c>
      <c r="J4" s="42" t="s">
        <v>9</v>
      </c>
      <c r="K4" s="43" t="s">
        <v>10</v>
      </c>
      <c r="L4" s="42" t="s">
        <v>9</v>
      </c>
      <c r="M4" s="43" t="s">
        <v>10</v>
      </c>
      <c r="N4" s="42" t="s">
        <v>9</v>
      </c>
      <c r="O4" s="115" t="s">
        <v>10</v>
      </c>
      <c r="P4" s="42" t="s">
        <v>9</v>
      </c>
      <c r="Q4" s="43" t="s">
        <v>10</v>
      </c>
      <c r="R4" s="44" t="s">
        <v>7</v>
      </c>
    </row>
    <row r="5" spans="1:18" ht="12.75" customHeight="1">
      <c r="A5"/>
      <c r="B5" s="3"/>
      <c r="C5" s="4"/>
      <c r="D5" s="3"/>
      <c r="E5" s="4"/>
      <c r="F5" s="3"/>
      <c r="G5" s="4"/>
      <c r="H5" s="3"/>
      <c r="I5" s="4"/>
      <c r="J5" s="3"/>
      <c r="K5" s="4"/>
      <c r="L5" s="3"/>
      <c r="M5" s="4"/>
      <c r="N5" s="106"/>
      <c r="O5" s="106"/>
      <c r="P5" s="3"/>
      <c r="Q5" s="4"/>
      <c r="R5" s="8"/>
    </row>
    <row r="6" spans="1:18" ht="12.75" customHeight="1">
      <c r="A6" s="15" t="s">
        <v>42</v>
      </c>
      <c r="B6" s="60">
        <v>2</v>
      </c>
      <c r="C6" s="61">
        <v>27</v>
      </c>
      <c r="D6" s="60">
        <v>0</v>
      </c>
      <c r="E6" s="61">
        <v>0</v>
      </c>
      <c r="F6" s="60">
        <v>0</v>
      </c>
      <c r="G6" s="61">
        <v>0</v>
      </c>
      <c r="H6" s="60">
        <v>0</v>
      </c>
      <c r="I6" s="61">
        <v>0</v>
      </c>
      <c r="J6" s="60">
        <v>0</v>
      </c>
      <c r="K6" s="61">
        <v>2</v>
      </c>
      <c r="L6" s="60">
        <v>0</v>
      </c>
      <c r="M6" s="61">
        <v>0</v>
      </c>
      <c r="N6" s="82">
        <v>0</v>
      </c>
      <c r="O6" s="82">
        <v>0</v>
      </c>
      <c r="P6" s="60">
        <f aca="true" t="shared" si="0" ref="P6:Q10">L6+J6+H6+F6+D6+B6</f>
        <v>2</v>
      </c>
      <c r="Q6" s="61">
        <f t="shared" si="0"/>
        <v>29</v>
      </c>
      <c r="R6" s="62">
        <f>Q6+P6</f>
        <v>31</v>
      </c>
    </row>
    <row r="7" spans="1:18" ht="12.75" customHeight="1">
      <c r="A7" s="15" t="s">
        <v>44</v>
      </c>
      <c r="B7" s="60">
        <v>0</v>
      </c>
      <c r="C7" s="61">
        <v>10</v>
      </c>
      <c r="D7" s="60">
        <v>0</v>
      </c>
      <c r="E7" s="61">
        <v>4</v>
      </c>
      <c r="F7" s="60">
        <v>0</v>
      </c>
      <c r="G7" s="61">
        <v>0</v>
      </c>
      <c r="H7" s="60">
        <v>0</v>
      </c>
      <c r="I7" s="61">
        <v>0</v>
      </c>
      <c r="J7" s="60">
        <v>0</v>
      </c>
      <c r="K7" s="61">
        <v>0</v>
      </c>
      <c r="L7" s="60">
        <v>0</v>
      </c>
      <c r="M7" s="61">
        <v>1</v>
      </c>
      <c r="N7" s="82">
        <v>0</v>
      </c>
      <c r="O7" s="82">
        <v>0</v>
      </c>
      <c r="P7" s="60">
        <f t="shared" si="0"/>
        <v>0</v>
      </c>
      <c r="Q7" s="61">
        <f t="shared" si="0"/>
        <v>15</v>
      </c>
      <c r="R7" s="62">
        <f>Q7+P7</f>
        <v>15</v>
      </c>
    </row>
    <row r="8" spans="1:18" ht="12.75" customHeight="1">
      <c r="A8" s="15" t="s">
        <v>48</v>
      </c>
      <c r="B8" s="60">
        <v>2</v>
      </c>
      <c r="C8" s="61">
        <v>18</v>
      </c>
      <c r="D8" s="60">
        <v>0</v>
      </c>
      <c r="E8" s="61">
        <v>3</v>
      </c>
      <c r="F8" s="60">
        <v>0</v>
      </c>
      <c r="G8" s="61">
        <v>0</v>
      </c>
      <c r="H8" s="60">
        <v>0</v>
      </c>
      <c r="I8" s="61">
        <v>0</v>
      </c>
      <c r="J8" s="60">
        <v>0</v>
      </c>
      <c r="K8" s="61">
        <v>0</v>
      </c>
      <c r="L8" s="60">
        <v>0</v>
      </c>
      <c r="M8" s="61">
        <v>0</v>
      </c>
      <c r="N8" s="82">
        <v>0</v>
      </c>
      <c r="O8" s="82">
        <v>0</v>
      </c>
      <c r="P8" s="60">
        <f t="shared" si="0"/>
        <v>2</v>
      </c>
      <c r="Q8" s="61">
        <f t="shared" si="0"/>
        <v>21</v>
      </c>
      <c r="R8" s="62">
        <f>Q8+P8</f>
        <v>23</v>
      </c>
    </row>
    <row r="9" spans="1:18" ht="12.75" customHeight="1">
      <c r="A9" s="15" t="s">
        <v>50</v>
      </c>
      <c r="B9" s="60">
        <v>1</v>
      </c>
      <c r="C9" s="61">
        <v>18</v>
      </c>
      <c r="D9" s="60">
        <v>0</v>
      </c>
      <c r="E9" s="61">
        <v>2</v>
      </c>
      <c r="F9" s="60">
        <v>0</v>
      </c>
      <c r="G9" s="61">
        <v>1</v>
      </c>
      <c r="H9" s="60">
        <v>0</v>
      </c>
      <c r="I9" s="61">
        <v>0</v>
      </c>
      <c r="J9" s="60">
        <v>0</v>
      </c>
      <c r="K9" s="61">
        <v>0</v>
      </c>
      <c r="L9" s="60">
        <v>1</v>
      </c>
      <c r="M9" s="61">
        <v>0</v>
      </c>
      <c r="N9" s="82">
        <v>0</v>
      </c>
      <c r="O9" s="82">
        <v>0</v>
      </c>
      <c r="P9" s="60">
        <f t="shared" si="0"/>
        <v>2</v>
      </c>
      <c r="Q9" s="61">
        <f t="shared" si="0"/>
        <v>21</v>
      </c>
      <c r="R9" s="62">
        <f>Q9+P9</f>
        <v>23</v>
      </c>
    </row>
    <row r="10" spans="1:18" ht="12.75" customHeight="1">
      <c r="A10" s="15" t="s">
        <v>57</v>
      </c>
      <c r="B10" s="60">
        <v>2</v>
      </c>
      <c r="C10" s="61">
        <v>22</v>
      </c>
      <c r="D10" s="60">
        <v>0</v>
      </c>
      <c r="E10" s="61">
        <v>2</v>
      </c>
      <c r="F10" s="60">
        <v>0</v>
      </c>
      <c r="G10" s="61">
        <v>0</v>
      </c>
      <c r="H10" s="60">
        <v>0</v>
      </c>
      <c r="I10" s="61">
        <v>0</v>
      </c>
      <c r="J10" s="60">
        <v>0</v>
      </c>
      <c r="K10" s="61">
        <v>0</v>
      </c>
      <c r="L10" s="60">
        <v>0</v>
      </c>
      <c r="M10" s="61">
        <v>0</v>
      </c>
      <c r="N10" s="82">
        <v>0</v>
      </c>
      <c r="O10" s="82">
        <v>0</v>
      </c>
      <c r="P10" s="60">
        <f t="shared" si="0"/>
        <v>2</v>
      </c>
      <c r="Q10" s="61">
        <f t="shared" si="0"/>
        <v>24</v>
      </c>
      <c r="R10" s="62">
        <f>Q10+P10</f>
        <v>26</v>
      </c>
    </row>
    <row r="11" spans="2:18" ht="12.75" customHeight="1">
      <c r="B11" s="9"/>
      <c r="C11" s="10"/>
      <c r="D11" s="9"/>
      <c r="E11" s="10"/>
      <c r="F11" s="9"/>
      <c r="G11" s="10"/>
      <c r="H11" s="9"/>
      <c r="I11" s="10"/>
      <c r="J11" s="9"/>
      <c r="K11" s="10"/>
      <c r="L11" s="9"/>
      <c r="M11" s="10"/>
      <c r="N11" s="20"/>
      <c r="O11" s="20"/>
      <c r="P11" s="9"/>
      <c r="Q11" s="10"/>
      <c r="R11" s="11"/>
    </row>
    <row r="12" spans="2:18" ht="12.75" customHeigh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ht="12.75" customHeight="1">
      <c r="A13" s="6" t="s">
        <v>13</v>
      </c>
    </row>
    <row r="14" spans="1:18" ht="12.75" customHeight="1">
      <c r="A14" s="6" t="s">
        <v>11</v>
      </c>
      <c r="B14" s="45" t="s">
        <v>1</v>
      </c>
      <c r="C14" s="46"/>
      <c r="D14" s="45" t="s">
        <v>2</v>
      </c>
      <c r="E14" s="46"/>
      <c r="F14" s="45" t="s">
        <v>3</v>
      </c>
      <c r="G14" s="46"/>
      <c r="H14" s="45" t="s">
        <v>4</v>
      </c>
      <c r="I14" s="46"/>
      <c r="J14" s="45" t="s">
        <v>5</v>
      </c>
      <c r="K14" s="46"/>
      <c r="L14" s="45" t="s">
        <v>6</v>
      </c>
      <c r="M14" s="46"/>
      <c r="N14" s="118" t="s">
        <v>45</v>
      </c>
      <c r="O14" s="119"/>
      <c r="P14" s="45" t="s">
        <v>7</v>
      </c>
      <c r="Q14" s="46"/>
      <c r="R14" s="41" t="s">
        <v>8</v>
      </c>
    </row>
    <row r="15" spans="1:18" ht="12.75" customHeight="1">
      <c r="A15" s="6" t="s">
        <v>12</v>
      </c>
      <c r="B15" s="42" t="s">
        <v>9</v>
      </c>
      <c r="C15" s="43" t="s">
        <v>10</v>
      </c>
      <c r="D15" s="42" t="s">
        <v>9</v>
      </c>
      <c r="E15" s="43" t="s">
        <v>10</v>
      </c>
      <c r="F15" s="42" t="s">
        <v>9</v>
      </c>
      <c r="G15" s="43" t="s">
        <v>10</v>
      </c>
      <c r="H15" s="42" t="s">
        <v>9</v>
      </c>
      <c r="I15" s="43" t="s">
        <v>10</v>
      </c>
      <c r="J15" s="42" t="s">
        <v>9</v>
      </c>
      <c r="K15" s="43" t="s">
        <v>10</v>
      </c>
      <c r="L15" s="42" t="s">
        <v>9</v>
      </c>
      <c r="M15" s="43" t="s">
        <v>10</v>
      </c>
      <c r="N15" s="42" t="s">
        <v>9</v>
      </c>
      <c r="O15" s="115" t="s">
        <v>10</v>
      </c>
      <c r="P15" s="42" t="s">
        <v>9</v>
      </c>
      <c r="Q15" s="43" t="s">
        <v>10</v>
      </c>
      <c r="R15" s="44" t="s">
        <v>7</v>
      </c>
    </row>
    <row r="16" spans="1:18" ht="12.75" customHeight="1">
      <c r="A16" s="6"/>
      <c r="B16" s="12"/>
      <c r="C16" s="13"/>
      <c r="D16" s="12"/>
      <c r="E16" s="13"/>
      <c r="F16" s="12"/>
      <c r="G16" s="13"/>
      <c r="H16" s="12"/>
      <c r="I16" s="13"/>
      <c r="J16" s="12"/>
      <c r="K16" s="13"/>
      <c r="L16" s="12"/>
      <c r="M16" s="13"/>
      <c r="N16" s="23"/>
      <c r="O16" s="23"/>
      <c r="P16" s="12"/>
      <c r="Q16" s="13"/>
      <c r="R16" s="14"/>
    </row>
    <row r="17" spans="1:18" ht="12.75" customHeight="1">
      <c r="A17" s="90" t="s">
        <v>42</v>
      </c>
      <c r="B17" s="60">
        <v>13</v>
      </c>
      <c r="C17" s="61">
        <v>109</v>
      </c>
      <c r="D17" s="60">
        <v>3</v>
      </c>
      <c r="E17" s="61">
        <v>21</v>
      </c>
      <c r="F17" s="60">
        <v>1</v>
      </c>
      <c r="G17" s="61">
        <v>2</v>
      </c>
      <c r="H17" s="60">
        <v>0</v>
      </c>
      <c r="I17" s="61">
        <v>0</v>
      </c>
      <c r="J17" s="60">
        <v>1</v>
      </c>
      <c r="K17" s="61">
        <v>2</v>
      </c>
      <c r="L17" s="60">
        <v>1</v>
      </c>
      <c r="M17" s="61">
        <v>1</v>
      </c>
      <c r="N17" s="82">
        <v>0</v>
      </c>
      <c r="O17" s="82">
        <v>0</v>
      </c>
      <c r="P17" s="60">
        <f aca="true" t="shared" si="1" ref="P17:Q20">L17+J17+H17+F17+D17+B17</f>
        <v>19</v>
      </c>
      <c r="Q17" s="61">
        <f t="shared" si="1"/>
        <v>135</v>
      </c>
      <c r="R17" s="62">
        <f>Q17+P17</f>
        <v>154</v>
      </c>
    </row>
    <row r="18" spans="1:18" ht="12.75" customHeight="1">
      <c r="A18" s="6" t="s">
        <v>44</v>
      </c>
      <c r="B18" s="60">
        <v>10</v>
      </c>
      <c r="C18" s="61">
        <v>108</v>
      </c>
      <c r="D18" s="60">
        <v>3</v>
      </c>
      <c r="E18" s="61">
        <v>21</v>
      </c>
      <c r="F18" s="60">
        <v>1</v>
      </c>
      <c r="G18" s="61">
        <v>2</v>
      </c>
      <c r="H18" s="60">
        <v>0</v>
      </c>
      <c r="I18" s="61">
        <v>0</v>
      </c>
      <c r="J18" s="60">
        <v>1</v>
      </c>
      <c r="K18" s="61">
        <v>2</v>
      </c>
      <c r="L18" s="60">
        <v>2</v>
      </c>
      <c r="M18" s="61">
        <v>1</v>
      </c>
      <c r="N18" s="82">
        <v>0</v>
      </c>
      <c r="O18" s="82">
        <v>0</v>
      </c>
      <c r="P18" s="60">
        <f t="shared" si="1"/>
        <v>17</v>
      </c>
      <c r="Q18" s="61">
        <f t="shared" si="1"/>
        <v>134</v>
      </c>
      <c r="R18" s="62">
        <f>Q18+P18</f>
        <v>151</v>
      </c>
    </row>
    <row r="19" spans="1:18" ht="12.75" customHeight="1">
      <c r="A19" s="6" t="s">
        <v>48</v>
      </c>
      <c r="B19" s="60">
        <v>14</v>
      </c>
      <c r="C19" s="61">
        <v>107</v>
      </c>
      <c r="D19" s="60">
        <v>1</v>
      </c>
      <c r="E19" s="61">
        <v>21</v>
      </c>
      <c r="F19" s="60">
        <v>0</v>
      </c>
      <c r="G19" s="61">
        <v>1</v>
      </c>
      <c r="H19" s="60">
        <v>0</v>
      </c>
      <c r="I19" s="61">
        <v>0</v>
      </c>
      <c r="J19" s="60">
        <v>0</v>
      </c>
      <c r="K19" s="61">
        <v>1</v>
      </c>
      <c r="L19" s="60">
        <v>1</v>
      </c>
      <c r="M19" s="61">
        <v>0</v>
      </c>
      <c r="N19" s="82">
        <v>0</v>
      </c>
      <c r="O19" s="82">
        <v>0</v>
      </c>
      <c r="P19" s="60">
        <f t="shared" si="1"/>
        <v>16</v>
      </c>
      <c r="Q19" s="61">
        <f t="shared" si="1"/>
        <v>130</v>
      </c>
      <c r="R19" s="62">
        <f>Q19+P19</f>
        <v>146</v>
      </c>
    </row>
    <row r="20" spans="1:18" ht="12.75" customHeight="1">
      <c r="A20" s="15" t="s">
        <v>50</v>
      </c>
      <c r="B20" s="60">
        <v>12</v>
      </c>
      <c r="C20" s="61">
        <v>110</v>
      </c>
      <c r="D20" s="60">
        <v>0</v>
      </c>
      <c r="E20" s="61">
        <v>22</v>
      </c>
      <c r="F20" s="60">
        <v>1</v>
      </c>
      <c r="G20" s="61">
        <v>5</v>
      </c>
      <c r="H20" s="60">
        <v>1</v>
      </c>
      <c r="I20" s="61">
        <v>1</v>
      </c>
      <c r="J20" s="60">
        <v>0</v>
      </c>
      <c r="K20" s="61">
        <v>2</v>
      </c>
      <c r="L20" s="60">
        <v>1</v>
      </c>
      <c r="M20" s="61">
        <v>1</v>
      </c>
      <c r="N20" s="82">
        <v>0</v>
      </c>
      <c r="O20" s="82">
        <v>0</v>
      </c>
      <c r="P20" s="60">
        <f t="shared" si="1"/>
        <v>15</v>
      </c>
      <c r="Q20" s="61">
        <f t="shared" si="1"/>
        <v>141</v>
      </c>
      <c r="R20" s="62">
        <f>Q20+P20</f>
        <v>156</v>
      </c>
    </row>
    <row r="21" spans="1:18" ht="12.75" customHeight="1">
      <c r="A21" s="15" t="s">
        <v>57</v>
      </c>
      <c r="B21" s="60">
        <v>13</v>
      </c>
      <c r="C21" s="61">
        <v>117</v>
      </c>
      <c r="D21" s="60">
        <v>2</v>
      </c>
      <c r="E21" s="61">
        <v>20</v>
      </c>
      <c r="F21" s="60">
        <v>2</v>
      </c>
      <c r="G21" s="61">
        <v>5</v>
      </c>
      <c r="H21" s="60">
        <v>1</v>
      </c>
      <c r="I21" s="61">
        <v>1</v>
      </c>
      <c r="J21" s="60">
        <v>0</v>
      </c>
      <c r="K21" s="61">
        <v>1</v>
      </c>
      <c r="L21" s="60">
        <v>0</v>
      </c>
      <c r="M21" s="61">
        <v>0</v>
      </c>
      <c r="N21" s="82">
        <v>0</v>
      </c>
      <c r="O21" s="82">
        <v>1</v>
      </c>
      <c r="P21" s="60">
        <f>L21+J21+H21+F21+D21+B21+N21</f>
        <v>18</v>
      </c>
      <c r="Q21" s="61">
        <f>M21+K21+I21+G21+E21+C21+O21</f>
        <v>145</v>
      </c>
      <c r="R21" s="62">
        <f>Q21+P21</f>
        <v>163</v>
      </c>
    </row>
    <row r="22" spans="1:18" ht="12.75" customHeight="1">
      <c r="A22" s="6"/>
      <c r="B22" s="9"/>
      <c r="C22" s="10"/>
      <c r="D22" s="9"/>
      <c r="E22" s="10"/>
      <c r="F22" s="9"/>
      <c r="G22" s="10"/>
      <c r="H22" s="9"/>
      <c r="I22" s="10"/>
      <c r="J22" s="9"/>
      <c r="K22" s="10"/>
      <c r="L22" s="9"/>
      <c r="M22" s="10"/>
      <c r="N22" s="20"/>
      <c r="O22" s="20"/>
      <c r="P22" s="9"/>
      <c r="Q22" s="10"/>
      <c r="R22" s="11"/>
    </row>
    <row r="23" spans="2:18" ht="12.75" customHeight="1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ht="12.75" customHeight="1">
      <c r="A24" s="35"/>
    </row>
    <row r="25" spans="1:2" ht="12.75" customHeight="1">
      <c r="A25" s="35"/>
      <c r="B25" s="35"/>
    </row>
    <row r="27" spans="1:15" ht="12.75" customHeight="1">
      <c r="A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</row>
    <row r="33" spans="1:18" s="16" customFormat="1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45" spans="1:18" s="16" customFormat="1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66" spans="1:18" s="16" customFormat="1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88" spans="1:18" s="16" customFormat="1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109" spans="1:18" s="16" customFormat="1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30" spans="1:18" s="16" customFormat="1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83" spans="1:18" s="16" customFormat="1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93" spans="1:18" s="16" customFormat="1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215" spans="1:18" s="16" customFormat="1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38" spans="1:18" s="16" customFormat="1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61" spans="1:18" s="16" customFormat="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83" spans="1:18" s="16" customFormat="1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305" spans="1:18" s="16" customFormat="1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37" spans="1:18" s="16" customFormat="1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47" spans="1:18" s="16" customFormat="1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69" spans="1:18" s="16" customFormat="1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81" spans="1:18" s="16" customFormat="1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92" spans="1:18" s="16" customFormat="1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405" spans="1:18" s="16" customFormat="1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</row>
    <row r="437" spans="1:18" s="16" customFormat="1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</row>
    <row r="447" spans="1:18" s="16" customFormat="1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</row>
  </sheetData>
  <mergeCells count="2">
    <mergeCell ref="N3:O3"/>
    <mergeCell ref="N14:O14"/>
  </mergeCells>
  <printOptions horizontalCentered="1"/>
  <pageMargins left="0.25" right="0.25" top="1" bottom="0.75" header="0.5" footer="0.25"/>
  <pageSetup fitToHeight="1" fitToWidth="1" horizontalDpi="300" verticalDpi="300" orientation="landscape" scale="93" r:id="rId1"/>
  <headerFooter alignWithMargins="0">
    <oddHeader>&amp;CThe University of Alabama in Huntsville
Unit Academic Reports 
</oddHeader>
    <oddFooter xml:space="preserve">&amp;L&amp;8Office of Institutional Research
&amp;D (ly)
&amp;F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Debbie Stowers</cp:lastModifiedBy>
  <cp:lastPrinted>2007-03-27T12:59:43Z</cp:lastPrinted>
  <dcterms:created xsi:type="dcterms:W3CDTF">1997-10-13T18:41:10Z</dcterms:created>
  <dcterms:modified xsi:type="dcterms:W3CDTF">2007-08-07T22:31:20Z</dcterms:modified>
  <cp:category/>
  <cp:version/>
  <cp:contentType/>
  <cp:contentStatus/>
</cp:coreProperties>
</file>