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80" yWindow="75" windowWidth="8730" windowHeight="7425" tabRatio="300" activeTab="0"/>
  </bookViews>
  <sheets>
    <sheet name="INSTRUCTIONS" sheetId="1" r:id="rId1"/>
    <sheet name="AE_Plan" sheetId="2" r:id="rId2"/>
    <sheet name="ME_Plan" sheetId="3" r:id="rId3"/>
  </sheets>
  <definedNames>
    <definedName name="_xlfn.IFERROR" hidden="1">#NAME?</definedName>
    <definedName name="AECourses">'AE_Plan'!$AG$1:$AJ$80</definedName>
    <definedName name="MECourses">'ME_Plan'!$AG$1:$AJ$80</definedName>
    <definedName name="_xlnm.Print_Area" localSheetId="1">'AE_Plan'!$A$2:$L$82,'AE_Plan'!$O$2:$Z$100</definedName>
    <definedName name="_xlnm.Print_Area" localSheetId="2">'ME_Plan'!$A$2:$L$82,'ME_Plan'!$O$2:$Z$100</definedName>
  </definedNames>
  <calcPr fullCalcOnLoad="1"/>
</workbook>
</file>

<file path=xl/sharedStrings.xml><?xml version="1.0" encoding="utf-8"?>
<sst xmlns="http://schemas.openxmlformats.org/spreadsheetml/2006/main" count="999" uniqueCount="310">
  <si>
    <t>Name (last, first):</t>
  </si>
  <si>
    <t>A#:</t>
  </si>
  <si>
    <t>Course</t>
  </si>
  <si>
    <t>Hours</t>
  </si>
  <si>
    <t>Grade</t>
  </si>
  <si>
    <t>English - 6 hours</t>
  </si>
  <si>
    <t>Freshman Composition</t>
  </si>
  <si>
    <t>Placement</t>
  </si>
  <si>
    <t>Freshman Composition II</t>
  </si>
  <si>
    <t>Calculus A</t>
  </si>
  <si>
    <t>Calculus B</t>
  </si>
  <si>
    <t>Calculus C</t>
  </si>
  <si>
    <t>Applied Differential Equations</t>
  </si>
  <si>
    <t>Chemistry - 4 hours</t>
  </si>
  <si>
    <t>Physics - 8 hours</t>
  </si>
  <si>
    <t>Science Elective - 4 hours</t>
  </si>
  <si>
    <t>Engineering Core - 12 hours</t>
  </si>
  <si>
    <t>Statics</t>
  </si>
  <si>
    <t>MAE 341</t>
  </si>
  <si>
    <t>Thermodynamics I</t>
  </si>
  <si>
    <t>ISE 321</t>
  </si>
  <si>
    <t>Engineering Economy</t>
  </si>
  <si>
    <t>MAE 100</t>
  </si>
  <si>
    <t>MAE 110</t>
  </si>
  <si>
    <t>Intro To Computer Aided Design</t>
  </si>
  <si>
    <t>MAE 272</t>
  </si>
  <si>
    <t>Dynamics</t>
  </si>
  <si>
    <t>MAE 285</t>
  </si>
  <si>
    <t>Numerical Methods and Computation I</t>
  </si>
  <si>
    <t>MAE 310</t>
  </si>
  <si>
    <t>Fluid Mechanics I</t>
  </si>
  <si>
    <t>MAE 311</t>
  </si>
  <si>
    <t>MAE 342</t>
  </si>
  <si>
    <t>Thermodynamics II</t>
  </si>
  <si>
    <t>MAE 364</t>
  </si>
  <si>
    <t>Kinematics and Dynamics of Machines</t>
  </si>
  <si>
    <t>MAE 370</t>
  </si>
  <si>
    <t>Mechanics of Materials</t>
  </si>
  <si>
    <t>MAE 378</t>
  </si>
  <si>
    <t>Materials and Manufacturing Processes</t>
  </si>
  <si>
    <t>MAE 385</t>
  </si>
  <si>
    <t>Numerical Methods and Computation II</t>
  </si>
  <si>
    <t>MAE 450</t>
  </si>
  <si>
    <t>Intro to Heat and Mass Transfer</t>
  </si>
  <si>
    <t>MAE 455</t>
  </si>
  <si>
    <t>Design of Thermal Systems</t>
  </si>
  <si>
    <t>MAE 466</t>
  </si>
  <si>
    <t>Mechanics &amp; Design of Machine Elements</t>
  </si>
  <si>
    <t>MAE 488</t>
  </si>
  <si>
    <t>Analysis of Engineering Systems</t>
  </si>
  <si>
    <t>MAE 489</t>
  </si>
  <si>
    <t>Computer-Aided Engineering</t>
  </si>
  <si>
    <t>MAE 490</t>
  </si>
  <si>
    <t>Introduction to Engineering Design</t>
  </si>
  <si>
    <t>MAE 491</t>
  </si>
  <si>
    <t>Prerequisite</t>
  </si>
  <si>
    <t>Course descriptions can be found in the online catalog at www.uah.edu</t>
  </si>
  <si>
    <t>MAE 200</t>
  </si>
  <si>
    <t>MAE 371</t>
  </si>
  <si>
    <t>Aerospace Structures</t>
  </si>
  <si>
    <t>MAE 420</t>
  </si>
  <si>
    <t>Compressible Aerodynamics</t>
  </si>
  <si>
    <t>MAE 430</t>
  </si>
  <si>
    <t>Fundamentals of Aerodynamics</t>
  </si>
  <si>
    <t>Rocket Propulsion I</t>
  </si>
  <si>
    <t>Airbreathing Propulsion</t>
  </si>
  <si>
    <t>Elements of Spacecraft Design</t>
  </si>
  <si>
    <t>MAE 480</t>
  </si>
  <si>
    <t>Aircraft Stability and Control</t>
  </si>
  <si>
    <t>MAE 492</t>
  </si>
  <si>
    <t>&lt;&lt;&lt; PICK ONLY ONE!</t>
  </si>
  <si>
    <t>Heavy load!</t>
  </si>
  <si>
    <t>Full time load.</t>
  </si>
  <si>
    <t>PICK YOUR PROGRAM FROM THE TABS AT THE BOTTOM LEFT!!!!</t>
  </si>
  <si>
    <t>Advisor Signature</t>
  </si>
  <si>
    <t>Student Signature</t>
  </si>
  <si>
    <t>Date</t>
  </si>
  <si>
    <t>MAE 471</t>
  </si>
  <si>
    <t>Adv. Aero Structures &amp; Materials</t>
  </si>
  <si>
    <t>MAE 493</t>
  </si>
  <si>
    <t>Rocket Design</t>
  </si>
  <si>
    <t>MAE 494</t>
  </si>
  <si>
    <t>Aircraft Design</t>
  </si>
  <si>
    <t>MAE 342, MAE 450, Recommended: MAE 490</t>
  </si>
  <si>
    <t>MAE 200, 310 and 341</t>
  </si>
  <si>
    <t>MAE 311 and 371</t>
  </si>
  <si>
    <t>Sophomore standing</t>
  </si>
  <si>
    <t>Technical Electives - 6 hours</t>
  </si>
  <si>
    <t>EH 101</t>
  </si>
  <si>
    <t>EH 102</t>
  </si>
  <si>
    <t>MA 171</t>
  </si>
  <si>
    <t>MA 172</t>
  </si>
  <si>
    <t>MA 201</t>
  </si>
  <si>
    <t>MA 238</t>
  </si>
  <si>
    <t>CH 121</t>
  </si>
  <si>
    <t>CH 125</t>
  </si>
  <si>
    <t>PH 111</t>
  </si>
  <si>
    <t>PH 114</t>
  </si>
  <si>
    <t>PH 112</t>
  </si>
  <si>
    <t>PH 115</t>
  </si>
  <si>
    <t>EE 213</t>
  </si>
  <si>
    <t>Fall</t>
  </si>
  <si>
    <t>Spring</t>
  </si>
  <si>
    <t>B</t>
  </si>
  <si>
    <t>D</t>
  </si>
  <si>
    <t>Summer</t>
  </si>
  <si>
    <t>A</t>
  </si>
  <si>
    <t>C</t>
  </si>
  <si>
    <t>BYS 119</t>
  </si>
  <si>
    <t>CH 123</t>
  </si>
  <si>
    <t>CH 126</t>
  </si>
  <si>
    <t>PH 113</t>
  </si>
  <si>
    <t>PH 116</t>
  </si>
  <si>
    <t>MAE 271</t>
  </si>
  <si>
    <t>CPE 112</t>
  </si>
  <si>
    <t>Introduction to Computer Programming in Engineering</t>
  </si>
  <si>
    <t>CHE 197</t>
  </si>
  <si>
    <t>Computer Methods for Chemical Engineering</t>
  </si>
  <si>
    <t>CHE 244</t>
  </si>
  <si>
    <t xml:space="preserve">Introduction to Chemical Engineering Systems </t>
  </si>
  <si>
    <t>Directions:</t>
  </si>
  <si>
    <t>CH 101</t>
  </si>
  <si>
    <t xml:space="preserve">Introduction to Chemistry </t>
  </si>
  <si>
    <t>MA 112</t>
  </si>
  <si>
    <t>MA 113</t>
  </si>
  <si>
    <t>MA 115</t>
  </si>
  <si>
    <t>Precalculus Algebra &amp; Trigonometry</t>
  </si>
  <si>
    <t>Note</t>
  </si>
  <si>
    <t>CH 105</t>
  </si>
  <si>
    <t>Introduction to Chemistry Lab</t>
  </si>
  <si>
    <t>Any additional classes taken can be added in the three cells provided</t>
  </si>
  <si>
    <t>Summer 1st 5wk</t>
  </si>
  <si>
    <t>Summer 2nd 5wk</t>
  </si>
  <si>
    <t>Semester</t>
  </si>
  <si>
    <t>Year (yyyy)</t>
  </si>
  <si>
    <t>Request it from the Center for Undergraduate Engineering Education or see HSBS &amp; HFA list at:</t>
  </si>
  <si>
    <t>Plan Semester</t>
  </si>
  <si>
    <t>GPA</t>
  </si>
  <si>
    <t>Qual Pts</t>
  </si>
  <si>
    <t>GPA Hrs</t>
  </si>
  <si>
    <t>TB</t>
  </si>
  <si>
    <t>TA</t>
  </si>
  <si>
    <t>TC</t>
  </si>
  <si>
    <t>TCR</t>
  </si>
  <si>
    <t xml:space="preserve">MAE Course Offerings plan - </t>
  </si>
  <si>
    <t>Precalculus Algebra</t>
  </si>
  <si>
    <t>Precalculus Trigonometry</t>
  </si>
  <si>
    <t>For Honors Courses:</t>
  </si>
  <si>
    <t xml:space="preserve">Fill in Semester, Year, Grade (if applicable), Course Number, </t>
  </si>
  <si>
    <t>and Number of Credit Hours that is associated with</t>
  </si>
  <si>
    <t xml:space="preserve"> the class, and Course Title.</t>
  </si>
  <si>
    <t>MA 244</t>
  </si>
  <si>
    <t>Sem Code</t>
  </si>
  <si>
    <t>Crse Line</t>
  </si>
  <si>
    <t>Credits</t>
  </si>
  <si>
    <t>Crse Name</t>
  </si>
  <si>
    <t>Error</t>
  </si>
  <si>
    <t>Course or Prereq/ Co-req Error</t>
  </si>
  <si>
    <r>
      <t xml:space="preserve">Note: </t>
    </r>
  </si>
  <si>
    <t>Note:</t>
  </si>
  <si>
    <t>Line#</t>
  </si>
  <si>
    <t>Line #</t>
  </si>
  <si>
    <t>Fill in the gray boxes above and to the right.</t>
  </si>
  <si>
    <t>GPA Hours</t>
  </si>
  <si>
    <t>18 - 21</t>
  </si>
  <si>
    <t>12 - 17</t>
  </si>
  <si>
    <t>http://www.uah.edu/images/Engineering/mechanical-aerospace/pdfs/Planned%20Offering%20of%20Undergraduate%20Courses%202009-2014%20rev%202-21-12.pdf</t>
  </si>
  <si>
    <t>Transfer/Pre-Requisite/Additional Courses - Option if Necessary</t>
  </si>
  <si>
    <t>Maj Q Pts</t>
  </si>
  <si>
    <t>Maj GPA H</t>
  </si>
  <si>
    <t>Major</t>
  </si>
  <si>
    <t>N</t>
  </si>
  <si>
    <t>Major GPA</t>
  </si>
  <si>
    <t>Major GPA Hours</t>
  </si>
  <si>
    <t>Y</t>
  </si>
  <si>
    <t>T.E.</t>
  </si>
  <si>
    <t>Minimum Major GPA to Graduate is 2.000</t>
  </si>
  <si>
    <t>Minimum GPA to Graduate is 2.000</t>
  </si>
  <si>
    <t>The cells below are a direct row map to the plan. The numbers are the row numbers for extracting data from the plan. The row numbers correspond to the table in columns AG through AJ. The error column either expresses an error or the course number. If the error column has the course number, there is no error.</t>
  </si>
  <si>
    <t>Transfer/Pre-Requisite/Additional Courses</t>
  </si>
  <si>
    <t>Valid Grade</t>
  </si>
  <si>
    <t>Sem Entered</t>
  </si>
  <si>
    <t>1. PICK YOUR PROGRAM FROM THE TABS AT THE BOTTOM LEFT!</t>
  </si>
  <si>
    <r>
      <t xml:space="preserve">2. Start by filling in the </t>
    </r>
    <r>
      <rPr>
        <u val="single"/>
        <sz val="22"/>
        <color indexed="9"/>
        <rFont val="Arial"/>
        <family val="2"/>
      </rPr>
      <t>Top left Corner</t>
    </r>
    <r>
      <rPr>
        <sz val="22"/>
        <color indexed="9"/>
        <rFont val="Arial"/>
        <family val="2"/>
      </rPr>
      <t xml:space="preserve"> with your </t>
    </r>
    <r>
      <rPr>
        <b/>
        <u val="single"/>
        <sz val="22"/>
        <color indexed="9"/>
        <rFont val="Arial"/>
        <family val="2"/>
      </rPr>
      <t>NAME</t>
    </r>
    <r>
      <rPr>
        <sz val="22"/>
        <color indexed="9"/>
        <rFont val="Arial"/>
        <family val="2"/>
      </rPr>
      <t xml:space="preserve">, </t>
    </r>
    <r>
      <rPr>
        <b/>
        <u val="single"/>
        <sz val="22"/>
        <color indexed="9"/>
        <rFont val="Arial"/>
        <family val="2"/>
      </rPr>
      <t>A#</t>
    </r>
    <r>
      <rPr>
        <b/>
        <sz val="22"/>
        <color indexed="9"/>
        <rFont val="Arial"/>
        <family val="2"/>
      </rPr>
      <t xml:space="preserve">, </t>
    </r>
    <r>
      <rPr>
        <u val="single"/>
        <sz val="22"/>
        <color indexed="9"/>
        <rFont val="Arial"/>
        <family val="2"/>
      </rPr>
      <t>semester</t>
    </r>
    <r>
      <rPr>
        <sz val="22"/>
        <color indexed="9"/>
        <rFont val="Arial"/>
        <family val="2"/>
      </rPr>
      <t xml:space="preserve"> and </t>
    </r>
    <r>
      <rPr>
        <u val="single"/>
        <sz val="22"/>
        <color indexed="9"/>
        <rFont val="Arial"/>
        <family val="2"/>
      </rPr>
      <t>year</t>
    </r>
    <r>
      <rPr>
        <sz val="22"/>
        <color indexed="9"/>
        <rFont val="Arial"/>
        <family val="2"/>
      </rPr>
      <t xml:space="preserve"> you start the plan. (</t>
    </r>
    <r>
      <rPr>
        <b/>
        <sz val="22"/>
        <color indexed="9"/>
        <rFont val="Arial"/>
        <family val="2"/>
      </rPr>
      <t>HINT</t>
    </r>
    <r>
      <rPr>
        <sz val="22"/>
        <color indexed="9"/>
        <rFont val="Arial"/>
        <family val="2"/>
      </rPr>
      <t xml:space="preserve">: Plan semester is the current semester). </t>
    </r>
  </si>
  <si>
    <t>Only the gray box are available for you to fill in. The Plan Semester will be highlighted in YELLOW.</t>
  </si>
  <si>
    <t>3. Entering grades for course you have already taken. There is no need to enter the semester or the year for these courses.</t>
  </si>
  <si>
    <t xml:space="preserve">For transfer credits select a grade of "TA", "TB" or "TC" as it appears on your transcript for the UAHuntsville equivalent course. For AP or IB credits select a grade of "TCR" as it appears on your transcript. </t>
  </si>
  <si>
    <t>If you took a class that has changed pre-reqs, keep in mind that this may cause a pre-req error for that course.</t>
  </si>
  <si>
    <t>Part Time student or add courses for full time load.</t>
  </si>
  <si>
    <t xml:space="preserve">I understand the importance of not deviating from my advisors recommended course schedule when I register for my classes on the web. I also understand that failure to discuss changes I make to my current schedule (or future schedule) may result in delays that could adversely effect my projected graduation date. Finally, I understand that I must make a grade of “C” or better on ALL prerequisite courses. Failure to obtain a “C” or better will result in having to repeat the course. </t>
  </si>
  <si>
    <t>SELECT the "Semester" and TYPE in the "Year" for courses you plan to take or are currently taking. SELECT only a "Grade" for courses you took. Fill in other gray boxes for available course information.</t>
  </si>
  <si>
    <t xml:space="preserve">Directions: </t>
  </si>
  <si>
    <t>EH 105</t>
  </si>
  <si>
    <t>Honors English Seminar</t>
  </si>
  <si>
    <t>Include in GPA</t>
  </si>
  <si>
    <t>Honors/Course Repeats/Other Courses - Option if Necessary</t>
  </si>
  <si>
    <t>F</t>
  </si>
  <si>
    <t>This sheet checks many of the requirements for graduation but not all of them. Students should check the CAPP degree evaluation on Self-Service Banner to determine if they meet all graduation requirements.</t>
  </si>
  <si>
    <t>For Course Repeats:</t>
  </si>
  <si>
    <t>Fill in the course information and enter "N" in the Include</t>
  </si>
  <si>
    <t>in GPA box in one of the last 5 rows.</t>
  </si>
  <si>
    <t>There are places at the bottom of the course list to enter extra courses. These will include any additional courses you have taken at UAHuntsville. You will need to add these courses from your transcript for the overall GPA to be correct.</t>
  </si>
  <si>
    <t>If you have a written consent to take something outside of the pre-req's that are required then you will still show an "Error." But you should have received documentation that can go into your file that states that the reason why you were allowed to take the course.</t>
  </si>
  <si>
    <t>If you have a course repeat, update the semester and the year to the time you repeated the course.</t>
  </si>
  <si>
    <t>Enter the course repeat the first time it was taken at the bottom of the course list and enter a "N" in the include in GPA box.</t>
  </si>
  <si>
    <t>If you have more than 5 course repeats, the additional repeats are included in the GPA. Enter the course repeat the first time it was taken at the bottom of the course list above the other five courses which were excluded from the GPA calculation.</t>
  </si>
  <si>
    <t>Select Course from Pull down menu that you are going to take.</t>
  </si>
  <si>
    <t>Fill in Course Number that you will be taking, but NO need to be specific right now. List as T.E. Fill in Credit Hours associated with Course if you fill in Course Number.</t>
  </si>
  <si>
    <t>U</t>
  </si>
  <si>
    <t>P</t>
  </si>
  <si>
    <t>Fill in Course Number and credit hours that you will be taking. List as T.E if you do not know yet.</t>
  </si>
  <si>
    <t>Mechanical Engineering Old Curriculum</t>
  </si>
  <si>
    <t>MAE 111</t>
  </si>
  <si>
    <t>Course was replaced by MAE 111</t>
  </si>
  <si>
    <t>These two courses were replaced by MA 244 and MAE 284</t>
  </si>
  <si>
    <t>Introduction to Linear Algebra</t>
  </si>
  <si>
    <t>General Physics w/Calculus I</t>
  </si>
  <si>
    <t>General Physics Lab I</t>
  </si>
  <si>
    <t>General Physics w/Calculus II</t>
  </si>
  <si>
    <t>General Physics Lab II</t>
  </si>
  <si>
    <t>HSBS</t>
  </si>
  <si>
    <t>Choose 3 Hrs: Literature or Fine Arts</t>
  </si>
  <si>
    <t>Elective</t>
  </si>
  <si>
    <t>History, Social, Behavioral Science, Humanities &amp; Fine Arts</t>
  </si>
  <si>
    <t>HFA</t>
  </si>
  <si>
    <t>MAE 284</t>
  </si>
  <si>
    <t>Mechanical Engineering Option - 53 hrs.</t>
  </si>
  <si>
    <t>General Chemistry I</t>
  </si>
  <si>
    <t>General Chemistry Lab</t>
  </si>
  <si>
    <t>Electrical Circuit Analysis I</t>
  </si>
  <si>
    <t>Introduction To Mechanical Engineering</t>
  </si>
  <si>
    <t>Intro To Computation Tools</t>
  </si>
  <si>
    <t>Numerical Methods</t>
  </si>
  <si>
    <t>Principles of Measurement &amp; Instrumentation</t>
  </si>
  <si>
    <t>MAE/CE 370, Prereq w/Con: MAE 284</t>
  </si>
  <si>
    <t>Product Realization</t>
  </si>
  <si>
    <t>Mission Design &amp; Development</t>
  </si>
  <si>
    <t>Principles of Aeronautics &amp; Astronautics</t>
  </si>
  <si>
    <t>Intro To Computational Tools</t>
  </si>
  <si>
    <t>Prereq w/Con: MAE 430 &amp; 488</t>
  </si>
  <si>
    <t>Semester selections are limited to the semesters the course is offered.</t>
  </si>
  <si>
    <t>MAE/CE 272, MAE 311, ISE 321</t>
  </si>
  <si>
    <t>Mathematics - 18 hours</t>
  </si>
  <si>
    <t>Aerospace Engineering Option - 52 hrs.</t>
  </si>
  <si>
    <t>Choose 3 Hrs: History, Social or Behavior Science</t>
  </si>
  <si>
    <t>Prereq/Coreq Errors =</t>
  </si>
  <si>
    <t>Course or Prereq/Coreq Error</t>
  </si>
  <si>
    <t>CE 271</t>
  </si>
  <si>
    <t>CE 370</t>
  </si>
  <si>
    <t>CE 272</t>
  </si>
  <si>
    <t>MAE 468</t>
  </si>
  <si>
    <r>
      <t xml:space="preserve">If you just enter a grade for a course, the </t>
    </r>
    <r>
      <rPr>
        <u val="single"/>
        <sz val="14"/>
        <rFont val="Arial"/>
        <family val="2"/>
      </rPr>
      <t>prerequisites are not checked.</t>
    </r>
  </si>
  <si>
    <t>Override Error</t>
  </si>
  <si>
    <t>Course Not Required</t>
  </si>
  <si>
    <t>MAE 440</t>
  </si>
  <si>
    <t>MAE 441</t>
  </si>
  <si>
    <t>General Education Electives - 3 hrs</t>
  </si>
  <si>
    <t>FYE 101</t>
  </si>
  <si>
    <t>History, Social &amp; Behavioral Sciences, Humanities &amp; Fine Arts - 15 hrs</t>
  </si>
  <si>
    <t>Requirements available at the Center for Undergraduate Engineering Education or see HSBS &amp; HFA list at:</t>
  </si>
  <si>
    <t>http://www.uah.edu/images/colleges/engineering/CUE2%20Files/Forms/HSBS_HFA_Requirements.pdf</t>
  </si>
  <si>
    <t>S</t>
  </si>
  <si>
    <t>If you did it right, then there will be no errors in the column AJ and course name will appear in every cell that is not gray.</t>
  </si>
  <si>
    <t>If you have taken a course and the cells are darken, just enter the semester and the year and the dark fill will go away.</t>
  </si>
  <si>
    <t>4. As you enter the semester and the year for each course you have left to take, the Study Plan will fill in automatically. Also you should be able to see if you have any "PRE-REQ ERRORs" or any other errors.</t>
  </si>
  <si>
    <t>5. Courses that are dark gray are not usually required. The study plan is complete when you have entered all of your information in the light gray cells.</t>
  </si>
  <si>
    <t>If you see any red filled cells they indicate errors in the study plan. The number listed after the word "Error" in the study plan is the line number of the error in column AJ. Column AJ has more information about the error.</t>
  </si>
  <si>
    <t xml:space="preserve">Instructions for Advising Study Plan 2013-14 V2.6: </t>
  </si>
  <si>
    <t>1 - 11</t>
  </si>
  <si>
    <t>AEROSPACE ENGINEERING! Study Plan 2013-14 V2.6</t>
  </si>
  <si>
    <t>MECHANICAL ENGINEERING! Study Plan 2013-14 V2.6</t>
  </si>
  <si>
    <t>Plcmt or CH 101, MA 113 or 115, Prereq w/Con: MA 171; Coreq: CH 125</t>
  </si>
  <si>
    <t xml:space="preserve">MAE/CE 271 &amp; (MAE 111 or CPE 112) </t>
  </si>
  <si>
    <t>MA 238, MAE/CE 271 &amp; (MAE 111, CPE 112 or CHE 197)</t>
  </si>
  <si>
    <t>MAE 111, 200, 272 and MAE/CE 370</t>
  </si>
  <si>
    <t>MAE 272, 371, Prereq w/Con: MAE 420</t>
  </si>
  <si>
    <t>EE 213, MAE/CE 272, MAE 284</t>
  </si>
  <si>
    <t>MAE 490 and Senior Standing</t>
  </si>
  <si>
    <t>MA 201, CH 121, CH 125, PH 112</t>
  </si>
  <si>
    <t>Prereq w/Con: MA 113 or Level II Placement; Coreq: MAE 100L</t>
  </si>
  <si>
    <t>Prereq w/Con: MA 113 or Level II Placement</t>
  </si>
  <si>
    <t>EE 213 &amp; (MAE 100 or 200) Coreq: MAE 311L</t>
  </si>
  <si>
    <t>MAE/CE 370</t>
  </si>
  <si>
    <t>MAE 364, MAE/CE 370</t>
  </si>
  <si>
    <t>MA 113 or MA 115, or Level III placement</t>
  </si>
  <si>
    <t>Prereq w/Con: MA 201</t>
  </si>
  <si>
    <t>Coreq CH 121</t>
  </si>
  <si>
    <t>Prereq w/Con PH 111</t>
  </si>
  <si>
    <t>MA 172, PH 111</t>
  </si>
  <si>
    <t>Prereq w/Con PH 112</t>
  </si>
  <si>
    <t>Choose 3 hours of electives (Ex. FYE 101): Any courses that you have met prerequisites, and are not a remedial course for Engineering curriculum.</t>
  </si>
  <si>
    <t>PH 112, Prereq w/Con: MA 238 &amp; (MA 244 or CHE 244)</t>
  </si>
  <si>
    <t>MA 244 &amp; (MAE 111 or CPE 112) Prereq w/Con MA 238 &amp; Coreq MAE 284L</t>
  </si>
  <si>
    <t>EE 213 &amp; (MAE 100 or 200), Coreq: MAE 311L</t>
  </si>
  <si>
    <t>MAE/CE 271, MA 244 &amp; (MAE 111 or CPE 112), Coreq: MAE 370L</t>
  </si>
  <si>
    <t>Plcmt or CH 101, MA 113 or MAE 115, Prereq w/Con: MA 171, Coreq: CH 125</t>
  </si>
  <si>
    <t>Coreq: CH 121</t>
  </si>
  <si>
    <t>Prereq w/Con: PH 111</t>
  </si>
  <si>
    <t>Prereq w/Con: PH 112</t>
  </si>
  <si>
    <t>Choose 3 hours of electives (Ex. FYE 101): Any courses that you have met prerequisites, and are not remedial coursework for Engineering curriculum.</t>
  </si>
  <si>
    <t>PH 111, Prereq w/Con: MA 201</t>
  </si>
  <si>
    <t>PH 112, Prereq w/Con: MA 238, (MA 244 or CHE 244)</t>
  </si>
  <si>
    <t>MA 244 &amp; (MAE 111 or CPE 112) Prereq w/Con: MA 238 &amp; Coreq MAE 284L</t>
  </si>
  <si>
    <t>MA 238, MAE/CE 271 &amp; (MAE 111 or CPE 112 or CHE 198)</t>
  </si>
  <si>
    <t>MAE 341, MA 238, Prereq w/Con MAE 284</t>
  </si>
  <si>
    <t>MAE 111, MAE/CE 272, Coreq: MAE 364L</t>
  </si>
  <si>
    <t>MAE 284, MAE 310, MAE 311, MAE 341, Coreq: MAE 450L</t>
  </si>
  <si>
    <t>PH 111; Prereq w/Con: MA 201</t>
  </si>
  <si>
    <t xml:space="preserve">Science &amp; Engineering College courses at 300-level or above approved by MAE Dept. Must have 6 Hours. </t>
  </si>
  <si>
    <t>TD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</si>
</sst>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s>
  <fonts count="91">
    <font>
      <sz val="10"/>
      <name val="Arial"/>
      <family val="0"/>
    </font>
    <font>
      <sz val="11"/>
      <color indexed="8"/>
      <name val="Calibri"/>
      <family val="2"/>
    </font>
    <font>
      <b/>
      <sz val="10"/>
      <name val="Arial"/>
      <family val="2"/>
    </font>
    <font>
      <i/>
      <sz val="10"/>
      <name val="Arial"/>
      <family val="2"/>
    </font>
    <font>
      <b/>
      <sz val="10"/>
      <color indexed="9"/>
      <name val="Arial"/>
      <family val="2"/>
    </font>
    <font>
      <sz val="9"/>
      <name val="Arial Narrow"/>
      <family val="2"/>
    </font>
    <font>
      <b/>
      <i/>
      <sz val="10"/>
      <color indexed="10"/>
      <name val="Arial"/>
      <family val="2"/>
    </font>
    <font>
      <b/>
      <i/>
      <sz val="10"/>
      <color indexed="12"/>
      <name val="Arial"/>
      <family val="2"/>
    </font>
    <font>
      <b/>
      <sz val="8"/>
      <name val="Arial"/>
      <family val="2"/>
    </font>
    <font>
      <b/>
      <sz val="12"/>
      <color indexed="10"/>
      <name val="Arial"/>
      <family val="2"/>
    </font>
    <font>
      <b/>
      <sz val="24"/>
      <color indexed="9"/>
      <name val="Arial"/>
      <family val="2"/>
    </font>
    <font>
      <sz val="8"/>
      <name val="Arial"/>
      <family val="2"/>
    </font>
    <font>
      <b/>
      <sz val="16"/>
      <name val="Arial"/>
      <family val="2"/>
    </font>
    <font>
      <sz val="9"/>
      <name val="Arial"/>
      <family val="2"/>
    </font>
    <font>
      <sz val="18"/>
      <name val="Arial"/>
      <family val="2"/>
    </font>
    <font>
      <sz val="12"/>
      <name val="Arial"/>
      <family val="2"/>
    </font>
    <font>
      <b/>
      <sz val="11"/>
      <name val="Arial"/>
      <family val="2"/>
    </font>
    <font>
      <sz val="24"/>
      <name val="Arial"/>
      <family val="2"/>
    </font>
    <font>
      <b/>
      <sz val="24"/>
      <name val="Arial"/>
      <family val="2"/>
    </font>
    <font>
      <sz val="16"/>
      <name val="Arial"/>
      <family val="2"/>
    </font>
    <font>
      <b/>
      <sz val="12"/>
      <name val="Arial"/>
      <family val="2"/>
    </font>
    <font>
      <sz val="22"/>
      <color indexed="9"/>
      <name val="Arial"/>
      <family val="2"/>
    </font>
    <font>
      <u val="single"/>
      <sz val="22"/>
      <color indexed="9"/>
      <name val="Arial"/>
      <family val="2"/>
    </font>
    <font>
      <b/>
      <u val="single"/>
      <sz val="22"/>
      <color indexed="9"/>
      <name val="Arial"/>
      <family val="2"/>
    </font>
    <font>
      <b/>
      <sz val="22"/>
      <color indexed="9"/>
      <name val="Arial"/>
      <family val="2"/>
    </font>
    <font>
      <sz val="14"/>
      <name val="Arial"/>
      <family val="2"/>
    </font>
    <font>
      <sz val="10"/>
      <name val="Arial Narrow"/>
      <family val="2"/>
    </font>
    <font>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sz val="11"/>
      <color indexed="10"/>
      <name val="Arial"/>
      <family val="2"/>
    </font>
    <font>
      <sz val="10"/>
      <color indexed="9"/>
      <name val="Arial"/>
      <family val="2"/>
    </font>
    <font>
      <u val="single"/>
      <sz val="9"/>
      <color indexed="12"/>
      <name val="Arial"/>
      <family val="2"/>
    </font>
    <font>
      <b/>
      <sz val="10"/>
      <color indexed="8"/>
      <name val="Arial"/>
      <family val="2"/>
    </font>
    <font>
      <b/>
      <u val="single"/>
      <sz val="24"/>
      <color indexed="10"/>
      <name val="Arial"/>
      <family val="2"/>
    </font>
    <font>
      <sz val="10"/>
      <color indexed="8"/>
      <name val="Arial"/>
      <family val="2"/>
    </font>
    <font>
      <u val="single"/>
      <sz val="11"/>
      <color indexed="12"/>
      <name val="Arial"/>
      <family val="2"/>
    </font>
    <font>
      <b/>
      <sz val="14"/>
      <color indexed="30"/>
      <name val="Arial"/>
      <family val="2"/>
    </font>
    <font>
      <u val="single"/>
      <sz val="8"/>
      <color indexed="12"/>
      <name val="Arial"/>
      <family val="2"/>
    </font>
    <font>
      <sz val="10"/>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1"/>
      <color rgb="FFFF0000"/>
      <name val="Arial"/>
      <family val="2"/>
    </font>
    <font>
      <sz val="10"/>
      <color theme="0"/>
      <name val="Arial"/>
      <family val="2"/>
    </font>
    <font>
      <u val="single"/>
      <sz val="9"/>
      <color theme="10"/>
      <name val="Arial"/>
      <family val="2"/>
    </font>
    <font>
      <b/>
      <sz val="10"/>
      <color theme="1"/>
      <name val="Arial"/>
      <family val="2"/>
    </font>
    <font>
      <b/>
      <u val="single"/>
      <sz val="24"/>
      <color rgb="FFFF0000"/>
      <name val="Arial"/>
      <family val="2"/>
    </font>
    <font>
      <b/>
      <sz val="10"/>
      <color theme="0"/>
      <name val="Arial"/>
      <family val="2"/>
    </font>
    <font>
      <b/>
      <i/>
      <sz val="10"/>
      <color rgb="FF0000FF"/>
      <name val="Arial"/>
      <family val="2"/>
    </font>
    <font>
      <sz val="10"/>
      <color theme="1"/>
      <name val="Arial"/>
      <family val="2"/>
    </font>
    <font>
      <sz val="22"/>
      <color theme="0"/>
      <name val="Arial"/>
      <family val="2"/>
    </font>
    <font>
      <sz val="10"/>
      <color theme="3"/>
      <name val="Arial"/>
      <family val="2"/>
    </font>
    <font>
      <sz val="11"/>
      <color rgb="FF000000"/>
      <name val="Calibri"/>
      <family val="2"/>
    </font>
    <font>
      <u val="single"/>
      <sz val="8"/>
      <color theme="10"/>
      <name val="Arial"/>
      <family val="2"/>
    </font>
    <font>
      <b/>
      <sz val="14"/>
      <color rgb="FF0070C0"/>
      <name val="Arial"/>
      <family val="2"/>
    </font>
    <font>
      <u val="single"/>
      <sz val="11"/>
      <color theme="10"/>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2" tint="-0.24997000396251678"/>
        <bgColor indexed="64"/>
      </patternFill>
    </fill>
    <fill>
      <patternFill patternType="solid">
        <fgColor indexed="44"/>
        <bgColor indexed="64"/>
      </patternFill>
    </fill>
    <fill>
      <patternFill patternType="solid">
        <fgColor indexed="40"/>
        <bgColor indexed="64"/>
      </patternFill>
    </fill>
    <fill>
      <patternFill patternType="solid">
        <fgColor theme="3" tint="-0.24997000396251678"/>
        <bgColor indexed="64"/>
      </patternFill>
    </fill>
    <fill>
      <patternFill patternType="solid">
        <fgColor rgb="FF0070C0"/>
        <bgColor indexed="64"/>
      </patternFill>
    </fill>
    <fill>
      <patternFill patternType="solid">
        <fgColor rgb="FFFFC000"/>
        <bgColor indexed="64"/>
      </patternFill>
    </fill>
    <fill>
      <patternFill patternType="solid">
        <fgColor rgb="FF00B0F0"/>
        <bgColor indexed="64"/>
      </patternFill>
    </fill>
    <fill>
      <patternFill patternType="solid">
        <fgColor indexed="8"/>
        <bgColor indexed="64"/>
      </patternFill>
    </fill>
    <fill>
      <patternFill patternType="solid">
        <fgColor indexed="11"/>
        <bgColor indexed="64"/>
      </patternFill>
    </fill>
    <fill>
      <patternFill patternType="solid">
        <fgColor rgb="FF993300"/>
        <bgColor indexed="64"/>
      </patternFill>
    </fill>
    <fill>
      <patternFill patternType="solid">
        <fgColor rgb="FF8C3200"/>
        <bgColor indexed="64"/>
      </patternFill>
    </fill>
    <fill>
      <patternFill patternType="solid">
        <fgColor rgb="FFDCFF64"/>
        <bgColor indexed="64"/>
      </patternFill>
    </fill>
    <fill>
      <patternFill patternType="solid">
        <fgColor rgb="FFC8DCFA"/>
        <bgColor indexed="64"/>
      </patternFill>
    </fill>
    <fill>
      <patternFill patternType="solid">
        <fgColor rgb="FF99CCFF"/>
        <bgColor indexed="64"/>
      </patternFill>
    </fill>
    <fill>
      <patternFill patternType="solid">
        <fgColor theme="1"/>
        <bgColor indexed="64"/>
      </patternFill>
    </fill>
    <fill>
      <patternFill patternType="solid">
        <fgColor rgb="FF7030A0"/>
        <bgColor indexed="64"/>
      </patternFill>
    </fill>
    <fill>
      <patternFill patternType="solid">
        <fgColor rgb="FFB8CCFF"/>
        <bgColor indexed="64"/>
      </patternFill>
    </fill>
    <fill>
      <patternFill patternType="solid">
        <fgColor rgb="FF0064B4"/>
        <bgColor indexed="64"/>
      </patternFill>
    </fill>
    <fill>
      <patternFill patternType="solid">
        <fgColor rgb="FF0050FF"/>
        <bgColor indexed="64"/>
      </patternFill>
    </fill>
    <fill>
      <patternFill patternType="solid">
        <fgColor indexed="13"/>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style="medium"/>
    </border>
    <border>
      <left style="thin"/>
      <right style="medium"/>
      <top style="thin"/>
      <bottom style="thin"/>
    </border>
    <border>
      <left/>
      <right style="medium"/>
      <top style="thin"/>
      <bottom style="thin"/>
    </border>
    <border>
      <left/>
      <right style="medium"/>
      <top style="thin"/>
      <bottom style="medium"/>
    </border>
    <border>
      <left style="thin"/>
      <right style="medium"/>
      <top style="thin"/>
      <bottom style="medium"/>
    </border>
    <border>
      <left/>
      <right/>
      <top/>
      <bottom style="medium"/>
    </border>
    <border>
      <left style="medium"/>
      <right/>
      <top/>
      <bottom/>
    </border>
    <border>
      <left style="medium"/>
      <right/>
      <top/>
      <bottom style="medium"/>
    </border>
    <border>
      <left/>
      <right style="thin"/>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right style="thin"/>
      <top style="thin"/>
      <bottom/>
    </border>
    <border>
      <left style="thin"/>
      <right style="thin"/>
      <top style="thin"/>
      <bottom/>
    </border>
    <border>
      <left style="thin"/>
      <right style="medium"/>
      <top style="thin"/>
      <bottom/>
    </border>
    <border>
      <left/>
      <right/>
      <top style="thin"/>
      <bottom/>
    </border>
    <border>
      <left style="medium"/>
      <right style="medium"/>
      <top style="thin"/>
      <bottom style="thin"/>
    </border>
    <border>
      <left/>
      <right style="medium"/>
      <top/>
      <bottom style="thin"/>
    </border>
    <border>
      <left style="medium"/>
      <right style="medium"/>
      <top/>
      <bottom style="thin"/>
    </border>
    <border>
      <left style="medium"/>
      <right style="thin"/>
      <top/>
      <bottom style="thin"/>
    </border>
    <border>
      <left style="thin"/>
      <right style="thin"/>
      <top/>
      <bottom style="thin"/>
    </border>
    <border>
      <left style="medium"/>
      <right style="medium"/>
      <top style="thin"/>
      <bottom style="medium"/>
    </border>
    <border>
      <left style="medium"/>
      <right style="medium"/>
      <top style="medium"/>
      <bottom style="thin"/>
    </border>
    <border>
      <left/>
      <right style="medium"/>
      <top style="medium"/>
      <bottom style="thin"/>
    </border>
    <border>
      <left style="medium"/>
      <right style="medium"/>
      <top/>
      <bottom/>
    </border>
    <border>
      <left style="medium"/>
      <right style="medium"/>
      <top style="thin"/>
      <bottom/>
    </border>
    <border>
      <left style="medium"/>
      <right/>
      <top style="thin"/>
      <bottom style="thin"/>
    </border>
    <border>
      <left style="medium"/>
      <right/>
      <top style="thin"/>
      <bottom style="medium"/>
    </border>
    <border>
      <left/>
      <right style="medium"/>
      <top/>
      <bottom/>
    </border>
    <border>
      <left style="thin"/>
      <right style="thin"/>
      <top/>
      <bottom/>
    </border>
    <border>
      <left style="medium"/>
      <right/>
      <top style="medium"/>
      <bottom style="thin"/>
    </border>
    <border>
      <left style="medium"/>
      <right style="thin"/>
      <top/>
      <bottom/>
    </border>
    <border>
      <left style="medium"/>
      <right/>
      <top style="medium"/>
      <bottom/>
    </border>
    <border>
      <left/>
      <right/>
      <top style="medium"/>
      <bottom/>
    </border>
    <border>
      <left/>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top style="medium"/>
      <bottom style="medium"/>
    </border>
    <border>
      <left style="thin"/>
      <right style="thin"/>
      <top style="medium"/>
      <bottom style="medium"/>
    </border>
    <border>
      <left style="medium"/>
      <right style="medium"/>
      <top/>
      <bottom style="medium"/>
    </border>
    <border>
      <left style="medium"/>
      <right style="medium"/>
      <top style="medium"/>
      <bottom/>
    </border>
    <border>
      <left/>
      <right/>
      <top style="medium"/>
      <bottom style="medium"/>
    </border>
    <border>
      <left style="thin"/>
      <right style="medium"/>
      <top style="medium"/>
      <bottom style="medium"/>
    </border>
    <border>
      <left style="medium"/>
      <right style="medium"/>
      <top style="medium"/>
      <bottom style="medium"/>
    </border>
    <border>
      <left/>
      <right style="thin"/>
      <top>
        <color indexed="63"/>
      </top>
      <bottom style="thin"/>
    </border>
    <border>
      <left style="thin"/>
      <right style="medium"/>
      <top/>
      <bottom style="thin"/>
    </border>
    <border>
      <left style="medium"/>
      <right style="thin"/>
      <top style="medium"/>
      <bottom style="medium"/>
    </border>
    <border>
      <left/>
      <right style="medium"/>
      <top style="medium"/>
      <bottom style="medium"/>
    </border>
    <border>
      <left/>
      <right style="medium"/>
      <top style="thin"/>
      <bottom/>
    </border>
    <border>
      <left style="medium"/>
      <right style="thin"/>
      <top style="thin"/>
      <bottom>
        <color indexed="63"/>
      </bottom>
    </border>
    <border>
      <left/>
      <right style="thin"/>
      <top style="thin"/>
      <bottom style="medium"/>
    </border>
    <border>
      <left/>
      <right style="thin"/>
      <top style="medium"/>
      <bottom style="thin"/>
    </border>
    <border>
      <left style="thin"/>
      <right style="thin"/>
      <top/>
      <bottom style="medium"/>
    </border>
    <border>
      <left style="thin"/>
      <right style="medium"/>
      <top/>
      <bottom/>
    </border>
    <border>
      <left style="medium"/>
      <right style="thin"/>
      <top style="double"/>
      <bottom style="medium"/>
    </border>
    <border>
      <left style="thin"/>
      <right style="thin"/>
      <top style="double"/>
      <bottom style="medium"/>
    </border>
    <border>
      <left style="thin"/>
      <right style="medium"/>
      <top style="double"/>
      <bottom style="medium"/>
    </border>
    <border>
      <left/>
      <right style="medium"/>
      <top/>
      <bottom style="medium"/>
    </border>
    <border>
      <left style="thin"/>
      <right style="medium"/>
      <top/>
      <bottom style="medium"/>
    </border>
    <border>
      <left/>
      <right style="thin"/>
      <top/>
      <bottom/>
    </border>
    <border>
      <left style="thin"/>
      <right/>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57">
    <xf numFmtId="0" fontId="0" fillId="0" borderId="0" xfId="0" applyAlignment="1">
      <alignment/>
    </xf>
    <xf numFmtId="0" fontId="0" fillId="0" borderId="0" xfId="0"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vertical="center"/>
    </xf>
    <xf numFmtId="0" fontId="0" fillId="0" borderId="10" xfId="0" applyBorder="1" applyAlignment="1">
      <alignment horizontal="center" vertical="center"/>
    </xf>
    <xf numFmtId="0" fontId="0" fillId="0" borderId="0" xfId="0" applyFont="1" applyAlignment="1">
      <alignment horizontal="left" vertical="center"/>
    </xf>
    <xf numFmtId="1" fontId="0" fillId="0" borderId="11" xfId="0" applyNumberFormat="1" applyFill="1" applyBorder="1" applyAlignment="1">
      <alignment horizontal="center" vertical="center"/>
    </xf>
    <xf numFmtId="1" fontId="0" fillId="0" borderId="12" xfId="0" applyNumberFormat="1" applyFill="1" applyBorder="1" applyAlignment="1">
      <alignment horizontal="center" vertical="center"/>
    </xf>
    <xf numFmtId="0" fontId="0" fillId="0" borderId="13" xfId="0" applyFill="1" applyBorder="1" applyAlignment="1">
      <alignment horizontal="left" vertical="center"/>
    </xf>
    <xf numFmtId="0" fontId="7"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horizontal="left" vertical="center"/>
    </xf>
    <xf numFmtId="1" fontId="0" fillId="0" borderId="11" xfId="0" applyNumberFormat="1" applyFont="1" applyFill="1" applyBorder="1" applyAlignment="1">
      <alignment horizontal="center" vertical="center"/>
    </xf>
    <xf numFmtId="0" fontId="76" fillId="0" borderId="0" xfId="0" applyFont="1" applyAlignment="1">
      <alignment horizontal="right" vertical="center"/>
    </xf>
    <xf numFmtId="0" fontId="0" fillId="0" borderId="11" xfId="0" applyFont="1" applyFill="1" applyBorder="1" applyAlignment="1">
      <alignment horizontal="center"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0" fillId="0" borderId="13" xfId="0" applyFont="1" applyFill="1" applyBorder="1" applyAlignment="1">
      <alignment horizontal="left" vertical="center"/>
    </xf>
    <xf numFmtId="1" fontId="0" fillId="33" borderId="11" xfId="0" applyNumberFormat="1" applyFill="1" applyBorder="1" applyAlignment="1">
      <alignment horizontal="center" vertical="center"/>
    </xf>
    <xf numFmtId="1" fontId="0" fillId="33" borderId="11" xfId="0" applyNumberFormat="1" applyFont="1" applyFill="1" applyBorder="1" applyAlignment="1">
      <alignment horizontal="center" vertical="center"/>
    </xf>
    <xf numFmtId="1" fontId="2" fillId="0" borderId="0" xfId="0" applyNumberFormat="1" applyFont="1" applyFill="1" applyBorder="1" applyAlignment="1">
      <alignment vertical="center"/>
    </xf>
    <xf numFmtId="1" fontId="77" fillId="0" borderId="0" xfId="0" applyNumberFormat="1" applyFont="1" applyFill="1" applyBorder="1" applyAlignment="1">
      <alignment vertical="center"/>
    </xf>
    <xf numFmtId="0" fontId="5" fillId="7" borderId="14" xfId="0" applyFont="1" applyFill="1" applyBorder="1" applyAlignment="1">
      <alignment vertical="center"/>
    </xf>
    <xf numFmtId="0" fontId="5" fillId="33" borderId="14" xfId="0" applyFont="1" applyFill="1" applyBorder="1" applyAlignment="1">
      <alignment vertical="center"/>
    </xf>
    <xf numFmtId="0" fontId="5" fillId="0" borderId="14" xfId="0" applyFont="1" applyFill="1" applyBorder="1" applyAlignment="1">
      <alignment horizontal="left" vertical="center"/>
    </xf>
    <xf numFmtId="0" fontId="0" fillId="7" borderId="13" xfId="0" applyFill="1" applyBorder="1" applyAlignment="1">
      <alignment horizontal="left" vertical="center"/>
    </xf>
    <xf numFmtId="0" fontId="0" fillId="33" borderId="13" xfId="0" applyFill="1" applyBorder="1" applyAlignment="1">
      <alignment horizontal="left" vertical="center"/>
    </xf>
    <xf numFmtId="0" fontId="0" fillId="33" borderId="13" xfId="0" applyFont="1" applyFill="1" applyBorder="1" applyAlignment="1">
      <alignment horizontal="left" vertical="center"/>
    </xf>
    <xf numFmtId="0" fontId="0" fillId="0" borderId="16" xfId="0" applyFill="1" applyBorder="1" applyAlignment="1">
      <alignment horizontal="left" vertical="center"/>
    </xf>
    <xf numFmtId="0" fontId="0" fillId="0" borderId="16" xfId="0" applyFont="1" applyFill="1" applyBorder="1" applyAlignment="1">
      <alignment horizontal="left" vertical="center"/>
    </xf>
    <xf numFmtId="0" fontId="0" fillId="0" borderId="17" xfId="0" applyBorder="1" applyAlignment="1">
      <alignment horizontal="center" vertical="center"/>
    </xf>
    <xf numFmtId="0" fontId="2" fillId="0" borderId="18" xfId="0" applyFont="1" applyBorder="1" applyAlignment="1">
      <alignment vertical="center"/>
    </xf>
    <xf numFmtId="0" fontId="0" fillId="0" borderId="19" xfId="0" applyBorder="1" applyAlignment="1">
      <alignment horizontal="center" vertical="center"/>
    </xf>
    <xf numFmtId="0" fontId="2" fillId="0" borderId="20" xfId="0" applyFont="1" applyFill="1" applyBorder="1" applyAlignment="1">
      <alignment vertical="center"/>
    </xf>
    <xf numFmtId="0" fontId="0" fillId="0" borderId="0" xfId="0" applyBorder="1" applyAlignment="1" applyProtection="1">
      <alignment/>
      <protection/>
    </xf>
    <xf numFmtId="0" fontId="0" fillId="0" borderId="0" xfId="0"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11" xfId="0" applyFont="1" applyFill="1" applyBorder="1" applyAlignment="1" applyProtection="1">
      <alignment horizontal="center" vertical="center"/>
      <protection hidden="1"/>
    </xf>
    <xf numFmtId="0" fontId="0" fillId="0" borderId="11" xfId="0" applyFill="1" applyBorder="1" applyAlignment="1" applyProtection="1">
      <alignment horizontal="center" vertical="center"/>
      <protection hidden="1"/>
    </xf>
    <xf numFmtId="0" fontId="0" fillId="0" borderId="0" xfId="0" applyFill="1" applyAlignment="1">
      <alignment horizontal="center" vertical="center"/>
    </xf>
    <xf numFmtId="0" fontId="0" fillId="0" borderId="0" xfId="0" applyBorder="1" applyAlignment="1">
      <alignment horizontal="center" vertical="center"/>
    </xf>
    <xf numFmtId="0" fontId="78" fillId="0" borderId="0" xfId="0" applyFont="1" applyAlignment="1" applyProtection="1">
      <alignment horizontal="center" vertical="center"/>
      <protection/>
    </xf>
    <xf numFmtId="0" fontId="0" fillId="0" borderId="13" xfId="0" applyFill="1" applyBorder="1" applyAlignment="1" applyProtection="1">
      <alignment horizontal="center" vertical="center"/>
      <protection hidden="1"/>
    </xf>
    <xf numFmtId="0" fontId="14" fillId="0" borderId="0" xfId="0" applyFont="1" applyAlignment="1">
      <alignment/>
    </xf>
    <xf numFmtId="0" fontId="0" fillId="0" borderId="0" xfId="0" applyFont="1" applyAlignment="1">
      <alignment horizontal="center" vertical="center"/>
    </xf>
    <xf numFmtId="0" fontId="2" fillId="0" borderId="21" xfId="0" applyFont="1" applyBorder="1" applyAlignment="1">
      <alignment horizontal="left" vertical="center"/>
    </xf>
    <xf numFmtId="0" fontId="2" fillId="0" borderId="22" xfId="0" applyFont="1" applyFill="1" applyBorder="1" applyAlignment="1">
      <alignment vertical="center"/>
    </xf>
    <xf numFmtId="1" fontId="0" fillId="0" borderId="23" xfId="0" applyNumberFormat="1" applyFill="1" applyBorder="1" applyAlignment="1">
      <alignment horizontal="center" vertical="center"/>
    </xf>
    <xf numFmtId="0" fontId="0" fillId="0" borderId="24" xfId="0" applyFill="1" applyBorder="1" applyAlignment="1">
      <alignment horizontal="left" vertical="center"/>
    </xf>
    <xf numFmtId="0" fontId="2" fillId="0" borderId="25" xfId="0" applyFont="1" applyFill="1" applyBorder="1" applyAlignment="1">
      <alignment vertical="center"/>
    </xf>
    <xf numFmtId="0" fontId="2" fillId="0" borderId="21" xfId="0" applyFont="1" applyFill="1" applyBorder="1" applyAlignment="1">
      <alignment vertical="center"/>
    </xf>
    <xf numFmtId="0" fontId="2" fillId="0" borderId="26" xfId="0" applyFont="1" applyFill="1" applyBorder="1" applyAlignment="1">
      <alignment vertical="center"/>
    </xf>
    <xf numFmtId="1" fontId="0" fillId="0" borderId="27" xfId="0" applyNumberFormat="1" applyFill="1" applyBorder="1" applyAlignment="1">
      <alignment horizontal="center" vertical="center"/>
    </xf>
    <xf numFmtId="0" fontId="0" fillId="0" borderId="28" xfId="0" applyFill="1" applyBorder="1" applyAlignment="1">
      <alignment horizontal="left" vertical="center"/>
    </xf>
    <xf numFmtId="0" fontId="0" fillId="0" borderId="11" xfId="0" applyBorder="1" applyAlignment="1">
      <alignment horizontal="center" vertical="center"/>
    </xf>
    <xf numFmtId="0" fontId="0" fillId="0" borderId="23" xfId="0" applyBorder="1" applyAlignment="1">
      <alignment horizontal="center" vertical="center"/>
    </xf>
    <xf numFmtId="1" fontId="0" fillId="7" borderId="11" xfId="0" applyNumberFormat="1" applyFill="1" applyBorder="1" applyAlignment="1">
      <alignment horizontal="center" vertical="center"/>
    </xf>
    <xf numFmtId="0" fontId="0" fillId="0" borderId="13" xfId="0" applyBorder="1" applyAlignment="1">
      <alignment/>
    </xf>
    <xf numFmtId="0" fontId="0" fillId="0" borderId="13" xfId="0" applyFont="1" applyBorder="1" applyAlignment="1">
      <alignment/>
    </xf>
    <xf numFmtId="0" fontId="0" fillId="0" borderId="29" xfId="0" applyBorder="1" applyAlignment="1">
      <alignment horizontal="left" vertical="center"/>
    </xf>
    <xf numFmtId="0" fontId="0" fillId="0" borderId="29" xfId="0" applyBorder="1" applyAlignment="1">
      <alignment horizontal="center" vertical="center"/>
    </xf>
    <xf numFmtId="0" fontId="0" fillId="0" borderId="24" xfId="0" applyFont="1" applyFill="1" applyBorder="1" applyAlignment="1">
      <alignment horizontal="left" vertical="center"/>
    </xf>
    <xf numFmtId="0" fontId="2" fillId="7" borderId="21" xfId="0" applyFont="1" applyFill="1" applyBorder="1" applyAlignment="1">
      <alignment vertical="center"/>
    </xf>
    <xf numFmtId="0" fontId="2" fillId="33" borderId="21" xfId="0" applyFont="1" applyFill="1" applyBorder="1" applyAlignment="1">
      <alignment vertical="center"/>
    </xf>
    <xf numFmtId="0" fontId="2" fillId="34" borderId="14"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ill="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35" borderId="30" xfId="0" applyNumberFormat="1" applyFont="1" applyFill="1" applyBorder="1" applyAlignment="1" applyProtection="1">
      <alignment horizontal="center" vertical="center"/>
      <protection locked="0"/>
    </xf>
    <xf numFmtId="0" fontId="0" fillId="35" borderId="31" xfId="0" applyFill="1" applyBorder="1" applyAlignment="1" applyProtection="1">
      <alignment horizontal="center" vertical="center"/>
      <protection locked="0"/>
    </xf>
    <xf numFmtId="0" fontId="0" fillId="35" borderId="32" xfId="0" applyFill="1" applyBorder="1" applyAlignment="1" applyProtection="1">
      <alignment horizontal="center" vertical="center"/>
      <protection locked="0"/>
    </xf>
    <xf numFmtId="0" fontId="2" fillId="35" borderId="33" xfId="0" applyFont="1" applyFill="1" applyBorder="1" applyAlignment="1" applyProtection="1">
      <alignment horizontal="left" vertical="center"/>
      <protection locked="0"/>
    </xf>
    <xf numFmtId="0" fontId="0" fillId="35" borderId="34" xfId="0" applyFill="1" applyBorder="1" applyAlignment="1" applyProtection="1">
      <alignment horizontal="center" vertical="center"/>
      <protection locked="0"/>
    </xf>
    <xf numFmtId="0" fontId="0" fillId="35" borderId="13" xfId="0" applyFill="1" applyBorder="1" applyAlignment="1" applyProtection="1">
      <alignment vertical="center"/>
      <protection locked="0"/>
    </xf>
    <xf numFmtId="0" fontId="0" fillId="35" borderId="30" xfId="0" applyFill="1" applyBorder="1" applyAlignment="1" applyProtection="1">
      <alignment horizontal="center" vertical="center"/>
      <protection locked="0"/>
    </xf>
    <xf numFmtId="0" fontId="2" fillId="35" borderId="21" xfId="0" applyFont="1" applyFill="1" applyBorder="1" applyAlignment="1" applyProtection="1">
      <alignment horizontal="left" vertical="center"/>
      <protection locked="0"/>
    </xf>
    <xf numFmtId="0" fontId="0" fillId="35" borderId="11" xfId="0" applyFill="1" applyBorder="1" applyAlignment="1" applyProtection="1">
      <alignment horizontal="center" vertical="center"/>
      <protection locked="0"/>
    </xf>
    <xf numFmtId="0" fontId="0" fillId="35" borderId="14" xfId="0" applyFill="1" applyBorder="1" applyAlignment="1" applyProtection="1">
      <alignment horizontal="center" vertical="center"/>
      <protection locked="0"/>
    </xf>
    <xf numFmtId="0" fontId="0" fillId="35" borderId="35" xfId="0" applyNumberFormat="1" applyFont="1" applyFill="1" applyBorder="1" applyAlignment="1" applyProtection="1">
      <alignment horizontal="center" vertical="center"/>
      <protection locked="0"/>
    </xf>
    <xf numFmtId="0" fontId="0" fillId="35" borderId="15" xfId="0" applyFill="1" applyBorder="1" applyAlignment="1" applyProtection="1">
      <alignment horizontal="center" vertical="center"/>
      <protection locked="0"/>
    </xf>
    <xf numFmtId="0" fontId="0" fillId="35" borderId="35" xfId="0" applyFill="1" applyBorder="1" applyAlignment="1" applyProtection="1">
      <alignment horizontal="center" vertical="center"/>
      <protection locked="0"/>
    </xf>
    <xf numFmtId="0" fontId="0" fillId="35" borderId="12" xfId="0" applyFill="1" applyBorder="1" applyAlignment="1" applyProtection="1">
      <alignment horizontal="center" vertical="center"/>
      <protection locked="0"/>
    </xf>
    <xf numFmtId="0" fontId="0" fillId="35" borderId="16" xfId="0" applyFill="1" applyBorder="1" applyAlignment="1" applyProtection="1">
      <alignment vertical="center"/>
      <protection locked="0"/>
    </xf>
    <xf numFmtId="0" fontId="0" fillId="35" borderId="36" xfId="0" applyNumberFormat="1" applyFont="1" applyFill="1" applyBorder="1" applyAlignment="1" applyProtection="1">
      <alignment horizontal="center" vertical="center"/>
      <protection locked="0"/>
    </xf>
    <xf numFmtId="0" fontId="0" fillId="35" borderId="37" xfId="0" applyFill="1" applyBorder="1" applyAlignment="1" applyProtection="1">
      <alignment horizontal="center" vertical="center"/>
      <protection locked="0"/>
    </xf>
    <xf numFmtId="0" fontId="0" fillId="35" borderId="36" xfId="0" applyFill="1" applyBorder="1" applyAlignment="1" applyProtection="1">
      <alignment horizontal="center" vertical="center"/>
      <protection locked="0"/>
    </xf>
    <xf numFmtId="0" fontId="0" fillId="35" borderId="16" xfId="0" applyFill="1" applyBorder="1" applyAlignment="1" applyProtection="1">
      <alignment horizontal="center" vertical="center"/>
      <protection locked="0"/>
    </xf>
    <xf numFmtId="0" fontId="0" fillId="35" borderId="38" xfId="0" applyNumberFormat="1" applyFont="1" applyFill="1" applyBorder="1" applyAlignment="1" applyProtection="1">
      <alignment horizontal="center" vertical="center"/>
      <protection locked="0"/>
    </xf>
    <xf numFmtId="0" fontId="0" fillId="35" borderId="38" xfId="0" applyFill="1" applyBorder="1" applyAlignment="1" applyProtection="1">
      <alignment horizontal="center" vertical="center"/>
      <protection locked="0"/>
    </xf>
    <xf numFmtId="0" fontId="0" fillId="35" borderId="39" xfId="0" applyFill="1" applyBorder="1" applyAlignment="1" applyProtection="1">
      <alignment horizontal="center" vertical="center"/>
      <protection locked="0"/>
    </xf>
    <xf numFmtId="0" fontId="2" fillId="35" borderId="22" xfId="0" applyFont="1" applyFill="1" applyBorder="1" applyAlignment="1" applyProtection="1">
      <alignment vertical="center"/>
      <protection locked="0"/>
    </xf>
    <xf numFmtId="0" fontId="2" fillId="35" borderId="21" xfId="0" applyFont="1" applyFill="1" applyBorder="1" applyAlignment="1" applyProtection="1">
      <alignment vertical="center"/>
      <protection locked="0"/>
    </xf>
    <xf numFmtId="0" fontId="2" fillId="35" borderId="25" xfId="0" applyFont="1" applyFill="1" applyBorder="1" applyAlignment="1" applyProtection="1">
      <alignment vertical="center"/>
      <protection locked="0"/>
    </xf>
    <xf numFmtId="0" fontId="0" fillId="35" borderId="37" xfId="0" applyNumberFormat="1" applyFont="1" applyFill="1" applyBorder="1" applyAlignment="1" applyProtection="1">
      <alignment horizontal="center" vertical="center"/>
      <protection locked="0"/>
    </xf>
    <xf numFmtId="0" fontId="0" fillId="35" borderId="36" xfId="0" applyFont="1" applyFill="1" applyBorder="1" applyAlignment="1" applyProtection="1">
      <alignment horizontal="center" vertical="center"/>
      <protection locked="0"/>
    </xf>
    <xf numFmtId="0" fontId="0" fillId="35" borderId="35" xfId="0" applyFont="1" applyFill="1" applyBorder="1" applyAlignment="1" applyProtection="1">
      <alignment horizontal="center" vertical="center"/>
      <protection locked="0"/>
    </xf>
    <xf numFmtId="0" fontId="0" fillId="35" borderId="30" xfId="0" applyFont="1" applyFill="1" applyBorder="1" applyAlignment="1" applyProtection="1">
      <alignment horizontal="center" vertical="center"/>
      <protection locked="0"/>
    </xf>
    <xf numFmtId="0" fontId="0" fillId="35" borderId="40" xfId="0" applyFill="1" applyBorder="1" applyAlignment="1" applyProtection="1">
      <alignment horizontal="center" vertical="center"/>
      <protection locked="0"/>
    </xf>
    <xf numFmtId="0" fontId="0" fillId="35" borderId="40" xfId="0" applyFont="1" applyFill="1" applyBorder="1" applyAlignment="1" applyProtection="1">
      <alignment horizontal="center" vertical="center"/>
      <protection locked="0"/>
    </xf>
    <xf numFmtId="0" fontId="0" fillId="35" borderId="41" xfId="0" applyFill="1" applyBorder="1" applyAlignment="1" applyProtection="1">
      <alignment horizontal="center" vertical="center"/>
      <protection locked="0"/>
    </xf>
    <xf numFmtId="1" fontId="0" fillId="35" borderId="23" xfId="0" applyNumberFormat="1" applyFill="1" applyBorder="1" applyAlignment="1" applyProtection="1">
      <alignment horizontal="center" vertical="center"/>
      <protection locked="0"/>
    </xf>
    <xf numFmtId="0" fontId="0" fillId="35" borderId="38" xfId="0" applyFont="1" applyFill="1" applyBorder="1" applyAlignment="1" applyProtection="1">
      <alignment horizontal="center" vertical="center"/>
      <protection locked="0"/>
    </xf>
    <xf numFmtId="0" fontId="0" fillId="35" borderId="42" xfId="0" applyFill="1" applyBorder="1" applyAlignment="1" applyProtection="1">
      <alignment horizontal="center" vertical="center"/>
      <protection locked="0"/>
    </xf>
    <xf numFmtId="1" fontId="0" fillId="35" borderId="43" xfId="0" applyNumberFormat="1" applyFill="1" applyBorder="1" applyAlignment="1" applyProtection="1">
      <alignment horizontal="center" vertical="center"/>
      <protection locked="0"/>
    </xf>
    <xf numFmtId="1" fontId="0" fillId="35" borderId="12" xfId="0" applyNumberFormat="1" applyFill="1" applyBorder="1" applyAlignment="1" applyProtection="1">
      <alignment horizontal="center" vertical="center"/>
      <protection locked="0"/>
    </xf>
    <xf numFmtId="0" fontId="0" fillId="35" borderId="44" xfId="0" applyFont="1" applyFill="1" applyBorder="1" applyAlignment="1" applyProtection="1">
      <alignment horizontal="center" vertical="center"/>
      <protection locked="0"/>
    </xf>
    <xf numFmtId="0" fontId="0" fillId="35" borderId="41" xfId="0" applyFont="1" applyFill="1" applyBorder="1" applyAlignment="1" applyProtection="1">
      <alignment horizontal="center" vertical="center"/>
      <protection locked="0"/>
    </xf>
    <xf numFmtId="0" fontId="0" fillId="35" borderId="11" xfId="0" applyFont="1" applyFill="1" applyBorder="1" applyAlignment="1" applyProtection="1">
      <alignment horizontal="center" vertical="center"/>
      <protection locked="0"/>
    </xf>
    <xf numFmtId="0" fontId="0" fillId="35" borderId="13" xfId="0" applyFont="1" applyFill="1" applyBorder="1" applyAlignment="1" applyProtection="1">
      <alignment/>
      <protection locked="0"/>
    </xf>
    <xf numFmtId="0" fontId="0" fillId="35" borderId="12" xfId="0" applyFont="1" applyFill="1" applyBorder="1" applyAlignment="1" applyProtection="1">
      <alignment horizontal="center" vertical="center"/>
      <protection locked="0"/>
    </xf>
    <xf numFmtId="0" fontId="0" fillId="35" borderId="16" xfId="0" applyFont="1" applyFill="1" applyBorder="1" applyAlignment="1" applyProtection="1">
      <alignment/>
      <protection locked="0"/>
    </xf>
    <xf numFmtId="0" fontId="15" fillId="0" borderId="0" xfId="0" applyFont="1" applyAlignment="1">
      <alignment/>
    </xf>
    <xf numFmtId="1" fontId="77" fillId="0" borderId="0" xfId="0" applyNumberFormat="1" applyFont="1" applyFill="1" applyBorder="1" applyAlignment="1">
      <alignment horizontal="center" vertical="center"/>
    </xf>
    <xf numFmtId="1" fontId="2" fillId="0" borderId="0" xfId="0" applyNumberFormat="1" applyFont="1" applyBorder="1" applyAlignment="1">
      <alignment horizontal="center" vertical="center"/>
    </xf>
    <xf numFmtId="0" fontId="2" fillId="0" borderId="0" xfId="0" applyFont="1" applyBorder="1" applyAlignment="1">
      <alignment vertical="center"/>
    </xf>
    <xf numFmtId="0" fontId="2" fillId="35" borderId="25" xfId="0" applyFont="1" applyFill="1" applyBorder="1" applyAlignment="1" applyProtection="1">
      <alignment horizontal="left" vertical="center"/>
      <protection locked="0"/>
    </xf>
    <xf numFmtId="0" fontId="2" fillId="35" borderId="45" xfId="0" applyFont="1" applyFill="1" applyBorder="1" applyAlignment="1" applyProtection="1">
      <alignment vertical="center"/>
      <protection locked="0"/>
    </xf>
    <xf numFmtId="0" fontId="2" fillId="35" borderId="21" xfId="0" applyFont="1" applyFill="1" applyBorder="1" applyAlignment="1" applyProtection="1">
      <alignment horizontal="center" vertical="center"/>
      <protection locked="0"/>
    </xf>
    <xf numFmtId="0" fontId="2" fillId="35" borderId="25" xfId="0" applyFont="1" applyFill="1" applyBorder="1" applyAlignment="1" applyProtection="1">
      <alignment horizontal="center" vertical="center"/>
      <protection locked="0"/>
    </xf>
    <xf numFmtId="0" fontId="18" fillId="0" borderId="0" xfId="0" applyFont="1" applyAlignment="1">
      <alignment/>
    </xf>
    <xf numFmtId="0" fontId="17" fillId="0" borderId="0" xfId="0" applyFont="1" applyAlignment="1">
      <alignment/>
    </xf>
    <xf numFmtId="0" fontId="19" fillId="0" borderId="0" xfId="0" applyFont="1" applyAlignment="1">
      <alignment/>
    </xf>
    <xf numFmtId="0" fontId="19" fillId="0" borderId="0" xfId="0" applyFont="1" applyFill="1" applyAlignment="1">
      <alignment horizontal="left"/>
    </xf>
    <xf numFmtId="0" fontId="0" fillId="0" borderId="0" xfId="0" applyAlignment="1" applyProtection="1">
      <alignment horizontal="left" vertical="center"/>
      <protection hidden="1"/>
    </xf>
    <xf numFmtId="0" fontId="78" fillId="0" borderId="0" xfId="0" applyFont="1" applyFill="1" applyAlignment="1" applyProtection="1">
      <alignment horizontal="center" vertical="center"/>
      <protection/>
    </xf>
    <xf numFmtId="0" fontId="0" fillId="0" borderId="0" xfId="0" applyAlignment="1">
      <alignment vertical="center" wrapText="1"/>
    </xf>
    <xf numFmtId="0" fontId="0" fillId="35" borderId="39"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protection hidden="1"/>
    </xf>
    <xf numFmtId="0" fontId="2" fillId="0" borderId="0" xfId="0" applyFont="1" applyBorder="1" applyAlignment="1">
      <alignment horizontal="right" vertical="center"/>
    </xf>
    <xf numFmtId="0" fontId="2" fillId="0" borderId="21" xfId="0" applyFont="1" applyBorder="1" applyAlignment="1" applyProtection="1">
      <alignment horizontal="left"/>
      <protection hidden="1"/>
    </xf>
    <xf numFmtId="0" fontId="0" fillId="36" borderId="22" xfId="0" applyFill="1" applyBorder="1" applyAlignment="1">
      <alignment horizontal="center" vertical="center"/>
    </xf>
    <xf numFmtId="0" fontId="0" fillId="36" borderId="23" xfId="0" applyFill="1" applyBorder="1" applyAlignment="1">
      <alignment horizontal="center" vertical="center"/>
    </xf>
    <xf numFmtId="0" fontId="0" fillId="36" borderId="24" xfId="0" applyFill="1" applyBorder="1" applyAlignment="1">
      <alignment horizontal="center" vertical="center"/>
    </xf>
    <xf numFmtId="0" fontId="0" fillId="36" borderId="22" xfId="0" applyFont="1" applyFill="1" applyBorder="1" applyAlignment="1">
      <alignment horizontal="center" vertical="center"/>
    </xf>
    <xf numFmtId="0" fontId="0" fillId="36" borderId="22" xfId="0" applyFill="1" applyBorder="1" applyAlignment="1" applyProtection="1">
      <alignment horizontal="center" vertical="center"/>
      <protection hidden="1"/>
    </xf>
    <xf numFmtId="0" fontId="0" fillId="36" borderId="23" xfId="0" applyFill="1" applyBorder="1" applyAlignment="1" applyProtection="1">
      <alignment horizontal="center" vertical="center"/>
      <protection hidden="1"/>
    </xf>
    <xf numFmtId="0" fontId="0" fillId="36" borderId="24"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2" fillId="37" borderId="46" xfId="0" applyFont="1" applyFill="1" applyBorder="1" applyAlignment="1">
      <alignment horizontal="centerContinuous" vertical="distributed"/>
    </xf>
    <xf numFmtId="0" fontId="2" fillId="37" borderId="47" xfId="0" applyFont="1" applyFill="1" applyBorder="1" applyAlignment="1">
      <alignment horizontal="centerContinuous" vertical="distributed"/>
    </xf>
    <xf numFmtId="0" fontId="2" fillId="37" borderId="48" xfId="0" applyFont="1" applyFill="1" applyBorder="1" applyAlignment="1">
      <alignment horizontal="centerContinuous" vertical="distributed"/>
    </xf>
    <xf numFmtId="0" fontId="2" fillId="37" borderId="18" xfId="0" applyFont="1" applyFill="1" applyBorder="1" applyAlignment="1">
      <alignment horizontal="centerContinuous" vertical="center"/>
    </xf>
    <xf numFmtId="0" fontId="2" fillId="37" borderId="0" xfId="0" applyFont="1" applyFill="1" applyBorder="1" applyAlignment="1">
      <alignment horizontal="centerContinuous" vertical="center"/>
    </xf>
    <xf numFmtId="0" fontId="2" fillId="37" borderId="42" xfId="0" applyFont="1" applyFill="1" applyBorder="1" applyAlignment="1">
      <alignment horizontal="centerContinuous" vertical="center"/>
    </xf>
    <xf numFmtId="0" fontId="2" fillId="37" borderId="49" xfId="0" applyFont="1" applyFill="1" applyBorder="1" applyAlignment="1">
      <alignment horizontal="centerContinuous" vertical="center"/>
    </xf>
    <xf numFmtId="0" fontId="2" fillId="37" borderId="50" xfId="0" applyFont="1" applyFill="1" applyBorder="1" applyAlignment="1">
      <alignment horizontal="centerContinuous" vertical="center"/>
    </xf>
    <xf numFmtId="0" fontId="2" fillId="37" borderId="51" xfId="0" applyFont="1" applyFill="1" applyBorder="1" applyAlignment="1">
      <alignment horizontal="centerContinuous" vertical="center"/>
    </xf>
    <xf numFmtId="0" fontId="2" fillId="37" borderId="46" xfId="0" applyFont="1" applyFill="1" applyBorder="1" applyAlignment="1">
      <alignment horizontal="centerContinuous" vertical="center"/>
    </xf>
    <xf numFmtId="0" fontId="2" fillId="37" borderId="47" xfId="0" applyFont="1" applyFill="1" applyBorder="1" applyAlignment="1">
      <alignment horizontal="centerContinuous" vertical="center"/>
    </xf>
    <xf numFmtId="0" fontId="2" fillId="37" borderId="48" xfId="0" applyFont="1" applyFill="1" applyBorder="1" applyAlignment="1">
      <alignment horizontal="centerContinuous" vertical="center"/>
    </xf>
    <xf numFmtId="0" fontId="2" fillId="0" borderId="0" xfId="0" applyFont="1" applyFill="1" applyBorder="1" applyAlignment="1" applyProtection="1">
      <alignment horizontal="right" vertical="center"/>
      <protection hidden="1"/>
    </xf>
    <xf numFmtId="0" fontId="78" fillId="0" borderId="0" xfId="0" applyFont="1" applyAlignment="1" applyProtection="1">
      <alignment horizontal="center" vertical="center"/>
      <protection hidden="1"/>
    </xf>
    <xf numFmtId="164" fontId="2" fillId="0" borderId="0" xfId="0" applyNumberFormat="1" applyFont="1" applyFill="1" applyBorder="1" applyAlignment="1" applyProtection="1">
      <alignment horizontal="center" vertical="center"/>
      <protection hidden="1"/>
    </xf>
    <xf numFmtId="0" fontId="20" fillId="0" borderId="0" xfId="0" applyFont="1" applyBorder="1" applyAlignment="1">
      <alignment horizontal="right" vertical="center"/>
    </xf>
    <xf numFmtId="0" fontId="78" fillId="0" borderId="0" xfId="0" applyFont="1" applyAlignment="1">
      <alignment horizontal="center" vertical="center"/>
    </xf>
    <xf numFmtId="0" fontId="0" fillId="0" borderId="0" xfId="0" applyFont="1" applyFill="1" applyBorder="1" applyAlignment="1" applyProtection="1">
      <alignment horizontal="center" vertical="center"/>
      <protection hidden="1"/>
    </xf>
    <xf numFmtId="0" fontId="0" fillId="0" borderId="0" xfId="0" applyFill="1" applyBorder="1" applyAlignment="1" applyProtection="1">
      <alignment horizontal="left" vertical="center"/>
      <protection hidden="1"/>
    </xf>
    <xf numFmtId="0" fontId="79" fillId="0" borderId="0" xfId="53" applyFont="1" applyAlignment="1" applyProtection="1">
      <alignment horizontal="left" vertical="center"/>
      <protection/>
    </xf>
    <xf numFmtId="0" fontId="2" fillId="0" borderId="0" xfId="0" applyFont="1" applyFill="1" applyAlignment="1">
      <alignment horizontal="centerContinuous" vertical="center"/>
    </xf>
    <xf numFmtId="0" fontId="0" fillId="35" borderId="32" xfId="0" applyNumberFormat="1" applyFont="1" applyFill="1" applyBorder="1" applyAlignment="1" applyProtection="1">
      <alignment horizontal="center" vertical="center"/>
      <protection locked="0"/>
    </xf>
    <xf numFmtId="0" fontId="2" fillId="35" borderId="33" xfId="0" applyFont="1" applyFill="1" applyBorder="1" applyAlignment="1" applyProtection="1">
      <alignment vertical="center"/>
      <protection locked="0"/>
    </xf>
    <xf numFmtId="1" fontId="0" fillId="35" borderId="34" xfId="0" applyNumberFormat="1" applyFill="1" applyBorder="1" applyAlignment="1" applyProtection="1">
      <alignment horizontal="center" vertical="center"/>
      <protection locked="0"/>
    </xf>
    <xf numFmtId="0" fontId="2" fillId="37" borderId="52" xfId="0" applyFont="1" applyFill="1" applyBorder="1" applyAlignment="1">
      <alignment horizontal="centerContinuous" vertical="center"/>
    </xf>
    <xf numFmtId="0" fontId="2" fillId="37" borderId="53" xfId="0" applyFont="1" applyFill="1" applyBorder="1" applyAlignment="1">
      <alignment horizontal="centerContinuous" vertical="center"/>
    </xf>
    <xf numFmtId="0" fontId="0" fillId="35" borderId="16" xfId="0" applyFont="1" applyFill="1" applyBorder="1" applyAlignment="1" applyProtection="1">
      <alignment horizontal="left" vertical="center"/>
      <protection locked="0"/>
    </xf>
    <xf numFmtId="0" fontId="0" fillId="34" borderId="38" xfId="0" applyFill="1" applyBorder="1" applyAlignment="1">
      <alignment vertical="center" wrapText="1"/>
    </xf>
    <xf numFmtId="0" fontId="0" fillId="34" borderId="54" xfId="0" applyFill="1" applyBorder="1" applyAlignment="1">
      <alignment vertical="center" wrapText="1"/>
    </xf>
    <xf numFmtId="0" fontId="0" fillId="34" borderId="55" xfId="0" applyFont="1" applyFill="1" applyBorder="1" applyAlignment="1" applyProtection="1">
      <alignment vertical="center" wrapText="1"/>
      <protection/>
    </xf>
    <xf numFmtId="0" fontId="0" fillId="34" borderId="38" xfId="0" applyFill="1" applyBorder="1" applyAlignment="1" applyProtection="1">
      <alignment vertical="center" wrapText="1"/>
      <protection/>
    </xf>
    <xf numFmtId="0" fontId="0" fillId="34" borderId="54" xfId="0" applyFill="1" applyBorder="1" applyAlignment="1" applyProtection="1">
      <alignment vertical="center" wrapText="1"/>
      <protection/>
    </xf>
    <xf numFmtId="0" fontId="0" fillId="34" borderId="38" xfId="0" applyFill="1" applyBorder="1" applyAlignment="1" applyProtection="1">
      <alignment horizontal="center" vertical="center" wrapText="1"/>
      <protection/>
    </xf>
    <xf numFmtId="0" fontId="0" fillId="35" borderId="13" xfId="0" applyFill="1" applyBorder="1" applyAlignment="1" applyProtection="1">
      <alignment horizontal="center" vertical="center"/>
      <protection locked="0"/>
    </xf>
    <xf numFmtId="0" fontId="2" fillId="34" borderId="38" xfId="0" applyFont="1" applyFill="1" applyBorder="1" applyAlignment="1" applyProtection="1">
      <alignment horizontal="center" vertical="center" wrapText="1"/>
      <protection/>
    </xf>
    <xf numFmtId="0" fontId="2" fillId="0" borderId="0" xfId="0" applyFont="1" applyAlignment="1" applyProtection="1">
      <alignment horizontal="center" vertical="center"/>
      <protection hidden="1"/>
    </xf>
    <xf numFmtId="0" fontId="2" fillId="0" borderId="11" xfId="0" applyFont="1" applyBorder="1" applyAlignment="1" applyProtection="1">
      <alignment horizontal="center"/>
      <protection hidden="1"/>
    </xf>
    <xf numFmtId="0" fontId="2" fillId="0" borderId="11" xfId="0" applyFont="1" applyFill="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4" fillId="38" borderId="46" xfId="0" applyFont="1" applyFill="1" applyBorder="1" applyAlignment="1" applyProtection="1">
      <alignment horizontal="centerContinuous" vertical="center"/>
      <protection hidden="1"/>
    </xf>
    <xf numFmtId="0" fontId="4" fillId="38" borderId="47" xfId="0" applyFont="1" applyFill="1" applyBorder="1" applyAlignment="1" applyProtection="1">
      <alignment horizontal="centerContinuous" vertical="center"/>
      <protection hidden="1"/>
    </xf>
    <xf numFmtId="0" fontId="4" fillId="38" borderId="48" xfId="0" applyFont="1" applyFill="1" applyBorder="1" applyAlignment="1" applyProtection="1">
      <alignment horizontal="centerContinuous" vertical="center"/>
      <protection hidden="1"/>
    </xf>
    <xf numFmtId="0" fontId="80" fillId="8" borderId="46" xfId="0" applyFont="1" applyFill="1" applyBorder="1" applyAlignment="1" applyProtection="1">
      <alignment horizontal="centerContinuous" vertical="center"/>
      <protection hidden="1"/>
    </xf>
    <xf numFmtId="0" fontId="80" fillId="8" borderId="47" xfId="0" applyFont="1" applyFill="1" applyBorder="1" applyAlignment="1" applyProtection="1">
      <alignment horizontal="centerContinuous" vertical="center"/>
      <protection hidden="1"/>
    </xf>
    <xf numFmtId="0" fontId="80" fillId="8" borderId="48" xfId="0" applyFont="1" applyFill="1" applyBorder="1" applyAlignment="1" applyProtection="1">
      <alignment horizontal="centerContinuous" vertical="center"/>
      <protection hidden="1"/>
    </xf>
    <xf numFmtId="0" fontId="4" fillId="39" borderId="46" xfId="0" applyFont="1" applyFill="1" applyBorder="1" applyAlignment="1" applyProtection="1">
      <alignment horizontal="centerContinuous" vertical="center"/>
      <protection hidden="1"/>
    </xf>
    <xf numFmtId="0" fontId="4" fillId="39" borderId="47" xfId="0" applyFont="1" applyFill="1" applyBorder="1" applyAlignment="1" applyProtection="1">
      <alignment horizontal="centerContinuous" vertical="center"/>
      <protection hidden="1"/>
    </xf>
    <xf numFmtId="0" fontId="4" fillId="39" borderId="48" xfId="0" applyFont="1" applyFill="1" applyBorder="1" applyAlignment="1" applyProtection="1">
      <alignment horizontal="centerContinuous" vertical="center"/>
      <protection hidden="1"/>
    </xf>
    <xf numFmtId="0" fontId="4" fillId="40" borderId="46" xfId="0" applyFont="1" applyFill="1" applyBorder="1" applyAlignment="1" applyProtection="1">
      <alignment horizontal="centerContinuous" vertical="center"/>
      <protection hidden="1"/>
    </xf>
    <xf numFmtId="0" fontId="4" fillId="40" borderId="47" xfId="0" applyFont="1" applyFill="1" applyBorder="1" applyAlignment="1" applyProtection="1">
      <alignment horizontal="centerContinuous" vertical="center"/>
      <protection hidden="1"/>
    </xf>
    <xf numFmtId="0" fontId="4" fillId="40" borderId="48" xfId="0" applyFont="1" applyFill="1" applyBorder="1" applyAlignment="1" applyProtection="1">
      <alignment horizontal="centerContinuous" vertical="center"/>
      <protection hidden="1"/>
    </xf>
    <xf numFmtId="0" fontId="0" fillId="0" borderId="11" xfId="0" applyFont="1" applyFill="1" applyBorder="1" applyAlignment="1" applyProtection="1">
      <alignment horizontal="center" vertical="center" wrapText="1"/>
      <protection hidden="1"/>
    </xf>
    <xf numFmtId="0" fontId="16" fillId="0" borderId="0" xfId="0" applyFont="1" applyAlignment="1">
      <alignment horizontal="right" vertical="center"/>
    </xf>
    <xf numFmtId="0" fontId="19" fillId="0" borderId="0" xfId="0" applyFont="1" applyAlignment="1">
      <alignment horizontal="fill"/>
    </xf>
    <xf numFmtId="0" fontId="19" fillId="0" borderId="0" xfId="0" applyFont="1" applyFill="1" applyAlignment="1">
      <alignment horizontal="fill"/>
    </xf>
    <xf numFmtId="0" fontId="25" fillId="0" borderId="0" xfId="0" applyFont="1" applyAlignment="1">
      <alignment/>
    </xf>
    <xf numFmtId="0" fontId="25" fillId="0" borderId="0" xfId="0" applyFont="1" applyAlignment="1">
      <alignment/>
    </xf>
    <xf numFmtId="0" fontId="81" fillId="0" borderId="0" xfId="0" applyFont="1" applyAlignment="1">
      <alignment/>
    </xf>
    <xf numFmtId="0" fontId="12" fillId="41" borderId="0" xfId="0" applyFont="1" applyFill="1" applyAlignment="1">
      <alignment horizontal="centerContinuous" vertical="center"/>
    </xf>
    <xf numFmtId="0" fontId="12" fillId="42" borderId="0" xfId="0" applyFont="1" applyFill="1" applyAlignment="1">
      <alignment horizontal="centerContinuous" vertical="center"/>
    </xf>
    <xf numFmtId="0" fontId="2" fillId="0" borderId="0" xfId="0" applyFont="1" applyAlignment="1">
      <alignment horizontal="right" vertical="center"/>
    </xf>
    <xf numFmtId="0" fontId="2" fillId="34" borderId="0" xfId="0" applyFont="1" applyFill="1" applyAlignment="1">
      <alignment horizontal="left" vertical="center"/>
    </xf>
    <xf numFmtId="0" fontId="0" fillId="34" borderId="0" xfId="0" applyFill="1" applyAlignment="1">
      <alignment horizontal="left" vertical="center"/>
    </xf>
    <xf numFmtId="0" fontId="10" fillId="43" borderId="0" xfId="0" applyFont="1" applyFill="1" applyAlignment="1">
      <alignment horizontal="centerContinuous" vertical="center"/>
    </xf>
    <xf numFmtId="16" fontId="2" fillId="44" borderId="11" xfId="0" applyNumberFormat="1" applyFont="1" applyFill="1" applyBorder="1" applyAlignment="1" quotePrefix="1">
      <alignment horizontal="center" vertical="center"/>
    </xf>
    <xf numFmtId="0" fontId="2" fillId="37" borderId="56" xfId="0" applyFont="1" applyFill="1" applyBorder="1" applyAlignment="1">
      <alignment horizontal="centerContinuous" vertical="center"/>
    </xf>
    <xf numFmtId="164" fontId="20" fillId="0" borderId="0" xfId="0" applyNumberFormat="1" applyFont="1" applyBorder="1" applyAlignment="1">
      <alignment horizontal="center" vertical="center"/>
    </xf>
    <xf numFmtId="0" fontId="20" fillId="0" borderId="0" xfId="0" applyFont="1" applyBorder="1" applyAlignment="1">
      <alignment horizontal="center" vertical="center"/>
    </xf>
    <xf numFmtId="0" fontId="2" fillId="35" borderId="11" xfId="0" applyFont="1" applyFill="1" applyBorder="1" applyAlignment="1" applyProtection="1">
      <alignment horizontal="center" vertical="center"/>
      <protection locked="0"/>
    </xf>
    <xf numFmtId="0" fontId="2" fillId="35" borderId="11" xfId="0" applyNumberFormat="1" applyFont="1" applyFill="1" applyBorder="1" applyAlignment="1" applyProtection="1">
      <alignment horizontal="center" vertical="center"/>
      <protection locked="0"/>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pplyProtection="1">
      <alignment horizontal="left" vertical="center"/>
      <protection/>
    </xf>
    <xf numFmtId="0" fontId="2"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Border="1" applyAlignment="1" applyProtection="1">
      <alignment horizontal="center" vertical="center"/>
      <protection/>
    </xf>
    <xf numFmtId="0" fontId="82" fillId="45" borderId="37" xfId="0" applyFont="1" applyFill="1" applyBorder="1" applyAlignment="1">
      <alignment horizontal="center" vertical="center"/>
    </xf>
    <xf numFmtId="0" fontId="82" fillId="46" borderId="37" xfId="0" applyFont="1" applyFill="1" applyBorder="1" applyAlignment="1">
      <alignment horizontal="center" vertical="center"/>
    </xf>
    <xf numFmtId="0" fontId="82" fillId="46" borderId="14" xfId="0" applyFont="1" applyFill="1" applyBorder="1" applyAlignment="1">
      <alignment horizontal="center" vertical="center"/>
    </xf>
    <xf numFmtId="0" fontId="82" fillId="46" borderId="11" xfId="0" applyFont="1" applyFill="1" applyBorder="1" applyAlignment="1" applyProtection="1">
      <alignment horizontal="center" vertical="center"/>
      <protection/>
    </xf>
    <xf numFmtId="0" fontId="82" fillId="46" borderId="31" xfId="0" applyFont="1" applyFill="1" applyBorder="1" applyAlignment="1">
      <alignment horizontal="center" vertical="center"/>
    </xf>
    <xf numFmtId="0" fontId="2" fillId="47" borderId="11" xfId="0" applyFont="1" applyFill="1" applyBorder="1" applyAlignment="1" quotePrefix="1">
      <alignment horizontal="center" vertical="center"/>
    </xf>
    <xf numFmtId="0" fontId="2" fillId="0" borderId="0" xfId="0" applyFont="1" applyFill="1" applyAlignment="1">
      <alignment horizontal="center" vertical="center"/>
    </xf>
    <xf numFmtId="1" fontId="0" fillId="0" borderId="23" xfId="0" applyNumberFormat="1" applyFont="1" applyFill="1" applyBorder="1" applyAlignment="1">
      <alignment horizontal="center" vertical="center"/>
    </xf>
    <xf numFmtId="2" fontId="0" fillId="0" borderId="0" xfId="0" applyNumberFormat="1" applyFill="1" applyAlignment="1">
      <alignment horizontal="center" vertical="center"/>
    </xf>
    <xf numFmtId="0" fontId="0" fillId="0" borderId="0" xfId="0" applyFont="1" applyAlignment="1" applyProtection="1">
      <alignment vertical="center"/>
      <protection/>
    </xf>
    <xf numFmtId="0" fontId="0" fillId="0" borderId="0" xfId="0" applyAlignment="1" applyProtection="1">
      <alignment vertical="center"/>
      <protection/>
    </xf>
    <xf numFmtId="0" fontId="78" fillId="0" borderId="0" xfId="0" applyFont="1" applyAlignment="1" applyProtection="1">
      <alignment vertical="center"/>
      <protection/>
    </xf>
    <xf numFmtId="0" fontId="0" fillId="35" borderId="39" xfId="0" applyFont="1" applyFill="1" applyBorder="1" applyAlignment="1" applyProtection="1">
      <alignment horizontal="center" vertical="center"/>
      <protection locked="0"/>
    </xf>
    <xf numFmtId="0" fontId="0" fillId="35" borderId="32" xfId="0" applyFont="1" applyFill="1" applyBorder="1" applyAlignment="1" applyProtection="1">
      <alignment horizontal="center" vertical="center"/>
      <protection locked="0"/>
    </xf>
    <xf numFmtId="0" fontId="10" fillId="43" borderId="0" xfId="0" applyFont="1" applyFill="1" applyAlignment="1" applyProtection="1">
      <alignment horizontal="centerContinuous" vertical="center"/>
      <protection/>
    </xf>
    <xf numFmtId="0" fontId="2" fillId="37" borderId="0" xfId="0" applyFont="1" applyFill="1" applyBorder="1" applyAlignment="1" applyProtection="1">
      <alignment horizontal="centerContinuous" vertical="distributed"/>
      <protection/>
    </xf>
    <xf numFmtId="0" fontId="2" fillId="37" borderId="0" xfId="0" applyFont="1" applyFill="1" applyBorder="1" applyAlignment="1" applyProtection="1">
      <alignment horizontal="centerContinuous" vertical="center"/>
      <protection/>
    </xf>
    <xf numFmtId="0" fontId="2" fillId="37" borderId="50" xfId="0" applyFont="1" applyFill="1" applyBorder="1" applyAlignment="1" applyProtection="1">
      <alignment horizontal="centerContinuous" vertical="center"/>
      <protection/>
    </xf>
    <xf numFmtId="0" fontId="2" fillId="37" borderId="53" xfId="0" applyFont="1" applyFill="1" applyBorder="1" applyAlignment="1" applyProtection="1">
      <alignment horizontal="centerContinuous" vertical="center"/>
      <protection/>
    </xf>
    <xf numFmtId="0" fontId="2" fillId="37" borderId="47" xfId="0" applyFont="1" applyFill="1" applyBorder="1" applyAlignment="1" applyProtection="1">
      <alignment horizontal="centerContinuous" vertical="center"/>
      <protection/>
    </xf>
    <xf numFmtId="0" fontId="0" fillId="0" borderId="36"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20" fillId="0" borderId="0" xfId="0" applyFont="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protection/>
    </xf>
    <xf numFmtId="1" fontId="2" fillId="0" borderId="0" xfId="0" applyNumberFormat="1" applyFont="1" applyBorder="1" applyAlignment="1">
      <alignment horizontal="left" vertical="center"/>
    </xf>
    <xf numFmtId="0" fontId="2" fillId="0" borderId="0" xfId="0" applyFont="1" applyBorder="1" applyAlignment="1">
      <alignment horizontal="left" vertical="center"/>
    </xf>
    <xf numFmtId="0" fontId="2" fillId="37" borderId="56" xfId="0" applyFont="1" applyFill="1" applyBorder="1" applyAlignment="1" applyProtection="1">
      <alignment horizontal="centerContinuous" vertical="center"/>
      <protection/>
    </xf>
    <xf numFmtId="0" fontId="0" fillId="0" borderId="40"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hidden="1"/>
    </xf>
    <xf numFmtId="0" fontId="2" fillId="48" borderId="21" xfId="0" applyFont="1" applyFill="1" applyBorder="1" applyAlignment="1">
      <alignment vertical="center"/>
    </xf>
    <xf numFmtId="1" fontId="0" fillId="48" borderId="11" xfId="0" applyNumberFormat="1" applyFont="1" applyFill="1" applyBorder="1" applyAlignment="1">
      <alignment horizontal="center" vertical="center"/>
    </xf>
    <xf numFmtId="0" fontId="0" fillId="48" borderId="13" xfId="0" applyFont="1" applyFill="1" applyBorder="1" applyAlignment="1">
      <alignment horizontal="left" vertical="center"/>
    </xf>
    <xf numFmtId="0" fontId="5" fillId="48" borderId="14" xfId="0" applyFont="1" applyFill="1" applyBorder="1" applyAlignment="1">
      <alignment vertical="center"/>
    </xf>
    <xf numFmtId="0" fontId="2" fillId="48" borderId="25" xfId="0" applyFont="1" applyFill="1" applyBorder="1" applyAlignment="1">
      <alignment vertical="center"/>
    </xf>
    <xf numFmtId="1" fontId="0" fillId="48" borderId="12" xfId="0" applyNumberFormat="1" applyFont="1" applyFill="1" applyBorder="1" applyAlignment="1">
      <alignment horizontal="center" vertical="center"/>
    </xf>
    <xf numFmtId="0" fontId="0" fillId="48" borderId="16" xfId="0" applyFont="1" applyFill="1" applyBorder="1" applyAlignment="1">
      <alignment horizontal="left" vertical="center"/>
    </xf>
    <xf numFmtId="0" fontId="83" fillId="0" borderId="0" xfId="0" applyFont="1" applyFill="1" applyAlignment="1">
      <alignment horizontal="left" vertical="center"/>
    </xf>
    <xf numFmtId="0" fontId="2" fillId="37" borderId="18" xfId="0" applyFont="1" applyFill="1" applyBorder="1" applyAlignment="1">
      <alignment horizontal="centerContinuous" vertical="distributed"/>
    </xf>
    <xf numFmtId="0" fontId="2" fillId="37" borderId="0" xfId="0" applyFont="1" applyFill="1" applyBorder="1" applyAlignment="1">
      <alignment horizontal="centerContinuous" vertical="distributed"/>
    </xf>
    <xf numFmtId="0" fontId="2" fillId="37" borderId="42" xfId="0" applyFont="1" applyFill="1" applyBorder="1" applyAlignment="1">
      <alignment horizontal="centerContinuous" vertical="distributed"/>
    </xf>
    <xf numFmtId="0" fontId="0" fillId="0" borderId="0" xfId="0" applyFont="1" applyAlignment="1">
      <alignment horizontal="left" vertical="center"/>
    </xf>
    <xf numFmtId="0" fontId="0" fillId="0" borderId="42" xfId="0" applyFont="1" applyBorder="1" applyAlignment="1">
      <alignment vertical="center" wrapText="1"/>
    </xf>
    <xf numFmtId="0" fontId="2" fillId="0" borderId="22" xfId="0" applyFont="1" applyFill="1" applyBorder="1" applyAlignment="1" applyProtection="1">
      <alignment horizontal="left" vertical="center"/>
      <protection/>
    </xf>
    <xf numFmtId="0" fontId="0" fillId="0" borderId="23" xfId="0" applyFill="1" applyBorder="1" applyAlignment="1" applyProtection="1">
      <alignment horizontal="center" vertical="center"/>
      <protection/>
    </xf>
    <xf numFmtId="0" fontId="0" fillId="0" borderId="24" xfId="0" applyBorder="1" applyAlignment="1" applyProtection="1">
      <alignment/>
      <protection/>
    </xf>
    <xf numFmtId="0" fontId="0" fillId="35" borderId="13" xfId="0" applyFont="1" applyFill="1" applyBorder="1" applyAlignment="1" applyProtection="1">
      <alignment vertical="center" wrapText="1"/>
      <protection locked="0"/>
    </xf>
    <xf numFmtId="0" fontId="0" fillId="34" borderId="38" xfId="0" applyFont="1" applyFill="1" applyBorder="1" applyAlignment="1" applyProtection="1">
      <alignment horizontal="center" vertical="center" wrapText="1"/>
      <protection/>
    </xf>
    <xf numFmtId="0" fontId="0" fillId="0" borderId="0" xfId="0" applyBorder="1" applyAlignment="1">
      <alignment horizontal="left" vertical="center"/>
    </xf>
    <xf numFmtId="0" fontId="2" fillId="37" borderId="57" xfId="0" applyFont="1" applyFill="1" applyBorder="1" applyAlignment="1">
      <alignment horizontal="center" vertical="center"/>
    </xf>
    <xf numFmtId="1" fontId="0" fillId="35" borderId="11" xfId="0" applyNumberFormat="1" applyFill="1" applyBorder="1" applyAlignment="1" applyProtection="1">
      <alignment horizontal="center" vertical="center"/>
      <protection locked="0"/>
    </xf>
    <xf numFmtId="0" fontId="5" fillId="0" borderId="31" xfId="0" applyFont="1" applyFill="1" applyBorder="1" applyAlignment="1">
      <alignment horizontal="left" vertical="center"/>
    </xf>
    <xf numFmtId="0" fontId="2" fillId="37" borderId="58" xfId="0" applyFont="1" applyFill="1" applyBorder="1" applyAlignment="1">
      <alignment horizontal="left" vertical="center"/>
    </xf>
    <xf numFmtId="0" fontId="2" fillId="0" borderId="59" xfId="0" applyFont="1" applyFill="1" applyBorder="1" applyAlignment="1">
      <alignment vertical="center"/>
    </xf>
    <xf numFmtId="1" fontId="0" fillId="0" borderId="34" xfId="0" applyNumberFormat="1" applyFill="1" applyBorder="1" applyAlignment="1">
      <alignment horizontal="center" vertical="center"/>
    </xf>
    <xf numFmtId="0" fontId="0" fillId="0" borderId="60" xfId="0" applyFont="1" applyFill="1" applyBorder="1" applyAlignment="1">
      <alignment horizontal="left" vertical="center"/>
    </xf>
    <xf numFmtId="0" fontId="2" fillId="37" borderId="61" xfId="0" applyFont="1" applyFill="1" applyBorder="1" applyAlignment="1">
      <alignment horizontal="centerContinuous" vertical="center"/>
    </xf>
    <xf numFmtId="0" fontId="2" fillId="37" borderId="57" xfId="0" applyFont="1" applyFill="1" applyBorder="1" applyAlignment="1">
      <alignment horizontal="centerContinuous" vertical="center"/>
    </xf>
    <xf numFmtId="0" fontId="2" fillId="37" borderId="62" xfId="0" applyFont="1" applyFill="1" applyBorder="1" applyAlignment="1">
      <alignment horizontal="centerContinuous" vertical="center"/>
    </xf>
    <xf numFmtId="0" fontId="2" fillId="34" borderId="58" xfId="0" applyFont="1" applyFill="1" applyBorder="1" applyAlignment="1">
      <alignment horizontal="center" vertical="center"/>
    </xf>
    <xf numFmtId="0" fontId="0" fillId="35" borderId="63" xfId="0" applyFill="1" applyBorder="1" applyAlignment="1" applyProtection="1">
      <alignment horizontal="center" vertical="center"/>
      <protection locked="0"/>
    </xf>
    <xf numFmtId="0" fontId="2" fillId="0" borderId="64" xfId="0" applyFont="1" applyFill="1" applyBorder="1" applyAlignment="1">
      <alignment vertical="center"/>
    </xf>
    <xf numFmtId="0" fontId="5" fillId="0" borderId="63" xfId="0" applyFont="1" applyFill="1" applyBorder="1" applyAlignment="1">
      <alignment vertical="center"/>
    </xf>
    <xf numFmtId="0" fontId="0" fillId="0" borderId="28" xfId="0" applyFont="1" applyFill="1" applyBorder="1" applyAlignment="1">
      <alignment horizontal="left" vertical="center"/>
    </xf>
    <xf numFmtId="0" fontId="0" fillId="35" borderId="24" xfId="0" applyFont="1" applyFill="1" applyBorder="1" applyAlignment="1" applyProtection="1">
      <alignment horizontal="left" vertical="center"/>
      <protection locked="0"/>
    </xf>
    <xf numFmtId="0" fontId="2" fillId="35" borderId="64" xfId="0" applyFont="1" applyFill="1" applyBorder="1" applyAlignment="1" applyProtection="1">
      <alignment vertical="center"/>
      <protection locked="0"/>
    </xf>
    <xf numFmtId="0" fontId="0" fillId="35" borderId="13" xfId="0" applyFont="1" applyFill="1" applyBorder="1" applyAlignment="1" applyProtection="1">
      <alignment horizontal="left" vertical="center"/>
      <protection locked="0"/>
    </xf>
    <xf numFmtId="0" fontId="26" fillId="35" borderId="28" xfId="0" applyFont="1" applyFill="1" applyBorder="1" applyAlignment="1" applyProtection="1">
      <alignment vertical="center" wrapText="1"/>
      <protection locked="0"/>
    </xf>
    <xf numFmtId="0" fontId="2" fillId="0" borderId="22" xfId="0" applyFont="1" applyBorder="1" applyAlignment="1">
      <alignment horizontal="left" vertical="center"/>
    </xf>
    <xf numFmtId="0" fontId="0" fillId="0" borderId="24" xfId="0" applyFont="1" applyBorder="1" applyAlignment="1">
      <alignment/>
    </xf>
    <xf numFmtId="0" fontId="0" fillId="34" borderId="55" xfId="0" applyFill="1" applyBorder="1" applyAlignment="1">
      <alignment vertical="center" wrapText="1"/>
    </xf>
    <xf numFmtId="0" fontId="2" fillId="0" borderId="65" xfId="0" applyFont="1" applyFill="1" applyBorder="1" applyAlignment="1">
      <alignment vertical="center"/>
    </xf>
    <xf numFmtId="0" fontId="2" fillId="0" borderId="18" xfId="0" applyFont="1" applyFill="1" applyBorder="1" applyAlignment="1">
      <alignment vertical="center"/>
    </xf>
    <xf numFmtId="0" fontId="0" fillId="0" borderId="0" xfId="0" applyFill="1" applyAlignment="1">
      <alignment vertical="center"/>
    </xf>
    <xf numFmtId="0" fontId="0" fillId="34" borderId="0" xfId="0" applyFill="1" applyBorder="1" applyAlignment="1" applyProtection="1">
      <alignment horizontal="left" vertical="center"/>
      <protection hidden="1"/>
    </xf>
    <xf numFmtId="0" fontId="0" fillId="0" borderId="11" xfId="0" applyFill="1" applyBorder="1" applyAlignment="1">
      <alignment horizontal="center" vertical="center"/>
    </xf>
    <xf numFmtId="0" fontId="0" fillId="10" borderId="0" xfId="0" applyFill="1" applyBorder="1" applyAlignment="1" applyProtection="1">
      <alignment horizontal="left" vertical="center"/>
      <protection hidden="1"/>
    </xf>
    <xf numFmtId="0" fontId="82" fillId="46" borderId="42" xfId="0" applyFont="1" applyFill="1" applyBorder="1" applyAlignment="1">
      <alignment horizontal="center" vertical="center"/>
    </xf>
    <xf numFmtId="0" fontId="0" fillId="0" borderId="44" xfId="0" applyFont="1" applyFill="1" applyBorder="1" applyAlignment="1" applyProtection="1">
      <alignment horizontal="center" vertical="center"/>
      <protection/>
    </xf>
    <xf numFmtId="0" fontId="5" fillId="0" borderId="37" xfId="0" applyFont="1" applyFill="1" applyBorder="1" applyAlignment="1">
      <alignment vertical="center"/>
    </xf>
    <xf numFmtId="0" fontId="2" fillId="0" borderId="0" xfId="0" applyFont="1" applyFill="1" applyAlignment="1" applyProtection="1">
      <alignment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right" vertical="center"/>
      <protection/>
    </xf>
    <xf numFmtId="0" fontId="76" fillId="0" borderId="0" xfId="0" applyFont="1" applyFill="1" applyAlignment="1" applyProtection="1">
      <alignment horizontal="right" vertical="center"/>
      <protection/>
    </xf>
    <xf numFmtId="0" fontId="2" fillId="49" borderId="46" xfId="0" applyFont="1" applyFill="1" applyBorder="1" applyAlignment="1">
      <alignment horizontal="centerContinuous" vertical="distributed"/>
    </xf>
    <xf numFmtId="0" fontId="2" fillId="49" borderId="0" xfId="0" applyFont="1" applyFill="1" applyBorder="1" applyAlignment="1" applyProtection="1">
      <alignment horizontal="centerContinuous" vertical="distributed"/>
      <protection/>
    </xf>
    <xf numFmtId="0" fontId="2" fillId="49" borderId="0" xfId="0" applyFont="1" applyFill="1" applyBorder="1" applyAlignment="1" applyProtection="1">
      <alignment horizontal="centerContinuous" vertical="center"/>
      <protection/>
    </xf>
    <xf numFmtId="0" fontId="2" fillId="49" borderId="53" xfId="0" applyFont="1" applyFill="1" applyBorder="1" applyAlignment="1" applyProtection="1">
      <alignment horizontal="centerContinuous" vertical="center"/>
      <protection/>
    </xf>
    <xf numFmtId="0" fontId="2" fillId="49" borderId="56" xfId="0" applyFont="1" applyFill="1" applyBorder="1" applyAlignment="1" applyProtection="1">
      <alignment horizontal="centerContinuous" vertical="center"/>
      <protection/>
    </xf>
    <xf numFmtId="0" fontId="2" fillId="49" borderId="47" xfId="0" applyFont="1" applyFill="1" applyBorder="1" applyAlignment="1" applyProtection="1">
      <alignment horizontal="centerContinuous" vertical="center"/>
      <protection/>
    </xf>
    <xf numFmtId="0" fontId="0" fillId="0" borderId="23" xfId="0" applyFont="1" applyBorder="1" applyAlignment="1">
      <alignment horizontal="center" vertical="center"/>
    </xf>
    <xf numFmtId="0" fontId="2" fillId="49" borderId="50" xfId="0" applyFont="1" applyFill="1" applyBorder="1" applyAlignment="1" applyProtection="1">
      <alignment horizontal="centerContinuous" vertical="center"/>
      <protection/>
    </xf>
    <xf numFmtId="0" fontId="10" fillId="50" borderId="0" xfId="0" applyFont="1" applyFill="1" applyAlignment="1" applyProtection="1">
      <alignment horizontal="centerContinuous" vertical="center"/>
      <protection/>
    </xf>
    <xf numFmtId="0" fontId="84" fillId="0" borderId="11" xfId="0" applyFont="1" applyFill="1" applyBorder="1" applyAlignment="1">
      <alignment horizontal="center" vertical="center"/>
    </xf>
    <xf numFmtId="0" fontId="80" fillId="33" borderId="25" xfId="0" applyFont="1" applyFill="1" applyBorder="1" applyAlignment="1" applyProtection="1">
      <alignment vertical="center"/>
      <protection/>
    </xf>
    <xf numFmtId="0" fontId="2" fillId="35" borderId="66" xfId="0" applyFont="1" applyFill="1" applyBorder="1" applyAlignment="1" applyProtection="1">
      <alignment vertical="center"/>
      <protection locked="0"/>
    </xf>
    <xf numFmtId="0" fontId="0" fillId="0" borderId="0" xfId="0" applyBorder="1" applyAlignment="1" applyProtection="1">
      <alignment horizontal="left" vertical="center"/>
      <protection hidden="1"/>
    </xf>
    <xf numFmtId="0" fontId="0" fillId="35" borderId="13" xfId="0" applyFont="1" applyFill="1" applyBorder="1" applyAlignment="1" applyProtection="1">
      <alignment vertical="center"/>
      <protection locked="0"/>
    </xf>
    <xf numFmtId="0" fontId="2" fillId="0" borderId="25" xfId="0" applyFont="1" applyFill="1" applyBorder="1" applyAlignment="1" applyProtection="1">
      <alignment vertical="center"/>
      <protection/>
    </xf>
    <xf numFmtId="0" fontId="78" fillId="0" borderId="0" xfId="0" applyFont="1" applyFill="1" applyAlignment="1" applyProtection="1">
      <alignment horizontal="center" vertical="center"/>
      <protection hidden="1"/>
    </xf>
    <xf numFmtId="0" fontId="0" fillId="0" borderId="0" xfId="0" applyAlignment="1" applyProtection="1">
      <alignment vertical="center"/>
      <protection hidden="1"/>
    </xf>
    <xf numFmtId="0" fontId="0" fillId="0" borderId="11" xfId="0" applyBorder="1" applyAlignment="1" applyProtection="1">
      <alignment horizontal="center" vertical="center"/>
      <protection hidden="1"/>
    </xf>
    <xf numFmtId="0" fontId="0"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85" fillId="0" borderId="0" xfId="0" applyFont="1" applyFill="1" applyAlignment="1">
      <alignment horizontal="left" wrapText="1"/>
    </xf>
    <xf numFmtId="0" fontId="2" fillId="0" borderId="21" xfId="0" applyFont="1" applyFill="1" applyBorder="1" applyAlignment="1" applyProtection="1">
      <alignment horizontal="left"/>
      <protection hidden="1"/>
    </xf>
    <xf numFmtId="0" fontId="0" fillId="0" borderId="11" xfId="0" applyFont="1" applyBorder="1" applyAlignment="1" applyProtection="1">
      <alignment horizontal="center" vertical="center"/>
      <protection hidden="1"/>
    </xf>
    <xf numFmtId="0" fontId="0" fillId="0" borderId="67"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1" fontId="0" fillId="0" borderId="11" xfId="0" applyNumberFormat="1" applyBorder="1" applyAlignment="1" applyProtection="1">
      <alignment horizontal="center" vertical="center"/>
      <protection hidden="1"/>
    </xf>
    <xf numFmtId="1" fontId="0" fillId="10" borderId="11" xfId="0" applyNumberFormat="1" applyFill="1" applyBorder="1" applyAlignment="1" applyProtection="1">
      <alignment horizontal="center" vertical="center"/>
      <protection hidden="1"/>
    </xf>
    <xf numFmtId="0" fontId="0" fillId="10" borderId="11" xfId="0" applyFill="1" applyBorder="1" applyAlignment="1" applyProtection="1">
      <alignment horizontal="center" vertical="center"/>
      <protection hidden="1"/>
    </xf>
    <xf numFmtId="1" fontId="0" fillId="34" borderId="11" xfId="0" applyNumberFormat="1" applyFill="1" applyBorder="1" applyAlignment="1" applyProtection="1">
      <alignment horizontal="center" vertical="center"/>
      <protection hidden="1"/>
    </xf>
    <xf numFmtId="0" fontId="0" fillId="34" borderId="11" xfId="0" applyFill="1" applyBorder="1" applyAlignment="1" applyProtection="1">
      <alignment horizontal="center" vertical="center"/>
      <protection hidden="1"/>
    </xf>
    <xf numFmtId="1" fontId="0" fillId="0" borderId="11" xfId="0" applyNumberFormat="1" applyFill="1" applyBorder="1" applyAlignment="1" applyProtection="1">
      <alignment horizontal="center" vertical="center"/>
      <protection hidden="1"/>
    </xf>
    <xf numFmtId="0" fontId="82" fillId="51" borderId="0" xfId="0" applyFont="1" applyFill="1" applyAlignment="1" applyProtection="1">
      <alignment horizontal="center" vertical="center"/>
      <protection hidden="1"/>
    </xf>
    <xf numFmtId="0" fontId="0" fillId="0" borderId="27" xfId="0" applyBorder="1" applyAlignment="1" applyProtection="1">
      <alignment horizontal="center" vertical="center"/>
      <protection hidden="1"/>
    </xf>
    <xf numFmtId="0" fontId="0" fillId="0" borderId="43" xfId="0" applyBorder="1" applyAlignment="1" applyProtection="1">
      <alignment horizontal="center" vertical="center"/>
      <protection hidden="1"/>
    </xf>
    <xf numFmtId="0" fontId="4" fillId="51" borderId="46" xfId="0" applyFont="1" applyFill="1" applyBorder="1" applyAlignment="1" applyProtection="1">
      <alignment horizontal="centerContinuous" vertical="center"/>
      <protection hidden="1"/>
    </xf>
    <xf numFmtId="0" fontId="4" fillId="51" borderId="47" xfId="0" applyFont="1" applyFill="1" applyBorder="1" applyAlignment="1" applyProtection="1">
      <alignment horizontal="centerContinuous" vertical="center"/>
      <protection hidden="1"/>
    </xf>
    <xf numFmtId="0" fontId="4" fillId="51" borderId="48" xfId="0" applyFont="1" applyFill="1" applyBorder="1" applyAlignment="1" applyProtection="1">
      <alignment horizontal="centerContinuous" vertical="center"/>
      <protection hidden="1"/>
    </xf>
    <xf numFmtId="0" fontId="0" fillId="36" borderId="11" xfId="0" applyFont="1" applyFill="1"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0" fillId="0" borderId="43" xfId="0" applyFont="1" applyBorder="1" applyAlignment="1" applyProtection="1">
      <alignment horizontal="center" vertical="center"/>
      <protection hidden="1"/>
    </xf>
    <xf numFmtId="0" fontId="0" fillId="0" borderId="47" xfId="0" applyBorder="1" applyAlignment="1" applyProtection="1">
      <alignment horizontal="center" vertical="center"/>
      <protection hidden="1"/>
    </xf>
    <xf numFmtId="0" fontId="0" fillId="0" borderId="0" xfId="0" applyBorder="1" applyAlignment="1" applyProtection="1">
      <alignment vertical="center"/>
      <protection hidden="1"/>
    </xf>
    <xf numFmtId="0" fontId="0" fillId="0" borderId="0" xfId="0" applyFont="1" applyAlignment="1" applyProtection="1">
      <alignment horizontal="left" vertical="center"/>
      <protection hidden="1"/>
    </xf>
    <xf numFmtId="0" fontId="0" fillId="0" borderId="24" xfId="0" applyFont="1" applyFill="1" applyBorder="1" applyAlignment="1" applyProtection="1">
      <alignment vertical="center" wrapText="1"/>
      <protection/>
    </xf>
    <xf numFmtId="0" fontId="0" fillId="0" borderId="16" xfId="0" applyFont="1" applyFill="1" applyBorder="1" applyAlignment="1" applyProtection="1">
      <alignment vertical="center" wrapText="1"/>
      <protection/>
    </xf>
    <xf numFmtId="0" fontId="0" fillId="0" borderId="51"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78" fillId="0" borderId="0" xfId="0" applyFont="1" applyFill="1" applyAlignment="1">
      <alignment horizontal="center" vertical="center"/>
    </xf>
    <xf numFmtId="0" fontId="0" fillId="0" borderId="0" xfId="0" applyFont="1" applyAlignment="1" applyProtection="1">
      <alignment horizontal="center" vertical="center"/>
      <protection/>
    </xf>
    <xf numFmtId="0" fontId="0" fillId="0" borderId="0" xfId="0" applyFont="1" applyBorder="1" applyAlignment="1" applyProtection="1">
      <alignment/>
      <protection/>
    </xf>
    <xf numFmtId="0" fontId="13" fillId="0" borderId="0" xfId="0" applyFont="1" applyAlignment="1" applyProtection="1">
      <alignment horizontal="center" vertical="center" wrapText="1"/>
      <protection hidden="1"/>
    </xf>
    <xf numFmtId="0" fontId="2" fillId="0" borderId="0" xfId="0" applyFont="1" applyFill="1" applyAlignment="1" applyProtection="1">
      <alignment horizontal="center" vertical="center"/>
      <protection hidden="1"/>
    </xf>
    <xf numFmtId="1" fontId="0" fillId="0" borderId="43" xfId="0" applyNumberFormat="1" applyFill="1" applyBorder="1" applyAlignment="1">
      <alignment horizontal="center" vertical="center"/>
    </xf>
    <xf numFmtId="0" fontId="0" fillId="35" borderId="60" xfId="0" applyFont="1" applyFill="1" applyBorder="1" applyAlignment="1" applyProtection="1">
      <alignment horizontal="left" vertical="center"/>
      <protection locked="0"/>
    </xf>
    <xf numFmtId="0" fontId="2" fillId="37" borderId="52" xfId="0" applyFont="1" applyFill="1" applyBorder="1" applyAlignment="1">
      <alignment horizontal="centerContinuous" vertical="distributed"/>
    </xf>
    <xf numFmtId="0" fontId="2" fillId="37" borderId="56" xfId="0" applyFont="1" applyFill="1" applyBorder="1" applyAlignment="1">
      <alignment horizontal="centerContinuous" vertical="distributed"/>
    </xf>
    <xf numFmtId="0" fontId="2" fillId="37" borderId="56" xfId="0" applyFont="1" applyFill="1" applyBorder="1" applyAlignment="1" applyProtection="1">
      <alignment horizontal="centerContinuous" vertical="distributed"/>
      <protection/>
    </xf>
    <xf numFmtId="0" fontId="2" fillId="49" borderId="56" xfId="0" applyFont="1" applyFill="1" applyBorder="1" applyAlignment="1" applyProtection="1">
      <alignment horizontal="centerContinuous" vertical="distributed"/>
      <protection/>
    </xf>
    <xf numFmtId="0" fontId="2" fillId="37" borderId="62" xfId="0" applyFont="1" applyFill="1" applyBorder="1" applyAlignment="1">
      <alignment horizontal="centerContinuous" vertical="distributed"/>
    </xf>
    <xf numFmtId="0" fontId="82" fillId="46" borderId="58" xfId="0" applyFont="1" applyFill="1" applyBorder="1" applyAlignment="1">
      <alignment horizontal="center" vertical="center"/>
    </xf>
    <xf numFmtId="0" fontId="5" fillId="0" borderId="31" xfId="0" applyFont="1" applyFill="1" applyBorder="1" applyAlignment="1">
      <alignment vertical="center"/>
    </xf>
    <xf numFmtId="0" fontId="82" fillId="45" borderId="58" xfId="0" applyFont="1" applyFill="1" applyBorder="1" applyAlignment="1">
      <alignment horizontal="center" vertical="center"/>
    </xf>
    <xf numFmtId="0" fontId="0" fillId="35" borderId="68" xfId="0" applyFont="1" applyFill="1" applyBorder="1" applyAlignment="1" applyProtection="1">
      <alignment horizontal="left" vertical="center"/>
      <protection locked="0"/>
    </xf>
    <xf numFmtId="1" fontId="0" fillId="35" borderId="27" xfId="0" applyNumberFormat="1" applyFill="1" applyBorder="1" applyAlignment="1" applyProtection="1">
      <alignment horizontal="center" vertical="center"/>
      <protection locked="0"/>
    </xf>
    <xf numFmtId="0" fontId="0" fillId="35" borderId="28" xfId="0" applyFont="1" applyFill="1" applyBorder="1" applyAlignment="1" applyProtection="1">
      <alignment horizontal="left" vertical="center"/>
      <protection locked="0"/>
    </xf>
    <xf numFmtId="0" fontId="0" fillId="35" borderId="16" xfId="0" applyFont="1" applyFill="1" applyBorder="1" applyAlignment="1" applyProtection="1">
      <alignment vertical="center"/>
      <protection locked="0"/>
    </xf>
    <xf numFmtId="0" fontId="2" fillId="0" borderId="64" xfId="0" applyFont="1" applyBorder="1" applyAlignment="1" applyProtection="1">
      <alignment horizontal="left"/>
      <protection hidden="1"/>
    </xf>
    <xf numFmtId="0" fontId="0" fillId="0" borderId="27" xfId="0" applyFill="1" applyBorder="1" applyAlignment="1" applyProtection="1">
      <alignment horizontal="center" vertical="center"/>
      <protection hidden="1"/>
    </xf>
    <xf numFmtId="0" fontId="0" fillId="0" borderId="28" xfId="0" applyFill="1" applyBorder="1" applyAlignment="1" applyProtection="1">
      <alignment horizontal="center" vertical="center"/>
      <protection hidden="1"/>
    </xf>
    <xf numFmtId="0" fontId="2" fillId="0" borderId="69" xfId="0" applyFont="1" applyBorder="1" applyAlignment="1" applyProtection="1">
      <alignment horizontal="left"/>
      <protection hidden="1"/>
    </xf>
    <xf numFmtId="0" fontId="0" fillId="0" borderId="70" xfId="0" applyFill="1" applyBorder="1" applyAlignment="1" applyProtection="1">
      <alignment horizontal="center" vertical="center"/>
      <protection hidden="1"/>
    </xf>
    <xf numFmtId="0" fontId="0" fillId="0" borderId="71" xfId="0" applyFill="1" applyBorder="1" applyAlignment="1" applyProtection="1">
      <alignment horizontal="center" vertical="center"/>
      <protection hidden="1"/>
    </xf>
    <xf numFmtId="0" fontId="5" fillId="0" borderId="14" xfId="0" applyFont="1" applyBorder="1" applyAlignment="1">
      <alignment horizontal="left" vertical="center"/>
    </xf>
    <xf numFmtId="0" fontId="25" fillId="0" borderId="0" xfId="0" applyFont="1" applyAlignment="1">
      <alignment horizontal="left" wrapText="1"/>
    </xf>
    <xf numFmtId="0" fontId="85" fillId="50" borderId="0" xfId="0" applyFont="1" applyFill="1" applyAlignment="1">
      <alignment horizontal="left" wrapText="1"/>
    </xf>
    <xf numFmtId="0" fontId="21" fillId="43" borderId="0" xfId="0" applyFont="1" applyFill="1" applyAlignment="1">
      <alignment horizontal="left"/>
    </xf>
    <xf numFmtId="0" fontId="25" fillId="0" borderId="0" xfId="0" applyFont="1" applyFill="1" applyAlignment="1">
      <alignment horizontal="left" wrapText="1"/>
    </xf>
    <xf numFmtId="0" fontId="86" fillId="0" borderId="42" xfId="0" applyFont="1" applyBorder="1" applyAlignment="1">
      <alignment horizontal="left" vertical="center" wrapText="1"/>
    </xf>
    <xf numFmtId="0" fontId="9" fillId="7" borderId="18" xfId="0" applyFont="1" applyFill="1" applyBorder="1" applyAlignment="1">
      <alignment horizontal="center" vertical="center"/>
    </xf>
    <xf numFmtId="0" fontId="9" fillId="7" borderId="0" xfId="0" applyFont="1" applyFill="1" applyBorder="1" applyAlignment="1">
      <alignment horizontal="center" vertical="center"/>
    </xf>
    <xf numFmtId="0" fontId="9" fillId="48" borderId="18" xfId="0" applyFont="1" applyFill="1" applyBorder="1" applyAlignment="1">
      <alignment horizontal="center" vertical="center"/>
    </xf>
    <xf numFmtId="0" fontId="9" fillId="48" borderId="0" xfId="0" applyFont="1" applyFill="1" applyBorder="1" applyAlignment="1">
      <alignment horizontal="center" vertical="center"/>
    </xf>
    <xf numFmtId="0" fontId="2" fillId="0" borderId="42" xfId="0" applyFont="1" applyBorder="1" applyAlignment="1">
      <alignment horizontal="center" vertical="center" wrapText="1"/>
    </xf>
    <xf numFmtId="0" fontId="2" fillId="0" borderId="72" xfId="0" applyFont="1" applyBorder="1" applyAlignment="1">
      <alignment horizontal="center" vertical="center" wrapText="1"/>
    </xf>
    <xf numFmtId="1" fontId="2" fillId="34" borderId="46" xfId="0" applyNumberFormat="1" applyFont="1" applyFill="1" applyBorder="1" applyAlignment="1">
      <alignment horizontal="left" vertical="center" wrapText="1"/>
    </xf>
    <xf numFmtId="1" fontId="2" fillId="34" borderId="47" xfId="0" applyNumberFormat="1" applyFont="1" applyFill="1" applyBorder="1" applyAlignment="1">
      <alignment horizontal="left" vertical="center" wrapText="1"/>
    </xf>
    <xf numFmtId="1" fontId="2" fillId="34" borderId="48" xfId="0" applyNumberFormat="1" applyFont="1" applyFill="1" applyBorder="1" applyAlignment="1">
      <alignment horizontal="left" vertical="center" wrapText="1"/>
    </xf>
    <xf numFmtId="1" fontId="2" fillId="34" borderId="19" xfId="0" applyNumberFormat="1" applyFont="1" applyFill="1" applyBorder="1" applyAlignment="1">
      <alignment horizontal="left" vertical="center" wrapText="1"/>
    </xf>
    <xf numFmtId="1" fontId="2" fillId="34" borderId="17" xfId="0" applyNumberFormat="1" applyFont="1" applyFill="1" applyBorder="1" applyAlignment="1">
      <alignment horizontal="left" vertical="center" wrapText="1"/>
    </xf>
    <xf numFmtId="1" fontId="2" fillId="34" borderId="72" xfId="0" applyNumberFormat="1" applyFont="1" applyFill="1" applyBorder="1" applyAlignment="1">
      <alignment horizontal="left" vertical="center" wrapText="1"/>
    </xf>
    <xf numFmtId="0" fontId="87" fillId="0" borderId="0" xfId="0" applyFont="1" applyAlignment="1">
      <alignment horizontal="left" vertical="top" wrapText="1"/>
    </xf>
    <xf numFmtId="0" fontId="4" fillId="39" borderId="22" xfId="0" applyFont="1" applyFill="1" applyBorder="1" applyAlignment="1" applyProtection="1">
      <alignment horizontal="center" vertical="center"/>
      <protection hidden="1"/>
    </xf>
    <xf numFmtId="0" fontId="4" fillId="39" borderId="23" xfId="0" applyFont="1" applyFill="1" applyBorder="1" applyAlignment="1" applyProtection="1">
      <alignment horizontal="center" vertical="center"/>
      <protection hidden="1"/>
    </xf>
    <xf numFmtId="0" fontId="4" fillId="39" borderId="24" xfId="0" applyFont="1" applyFill="1" applyBorder="1" applyAlignment="1" applyProtection="1">
      <alignment horizontal="center" vertical="center"/>
      <protection hidden="1"/>
    </xf>
    <xf numFmtId="0" fontId="80" fillId="52" borderId="22" xfId="0" applyFont="1" applyFill="1" applyBorder="1" applyAlignment="1" applyProtection="1">
      <alignment horizontal="center" vertical="center"/>
      <protection hidden="1"/>
    </xf>
    <xf numFmtId="0" fontId="80" fillId="52" borderId="23" xfId="0" applyFont="1" applyFill="1" applyBorder="1" applyAlignment="1" applyProtection="1">
      <alignment horizontal="center" vertical="center"/>
      <protection hidden="1"/>
    </xf>
    <xf numFmtId="0" fontId="80" fillId="52" borderId="24" xfId="0" applyFont="1" applyFill="1" applyBorder="1" applyAlignment="1" applyProtection="1">
      <alignment horizontal="center" vertical="center"/>
      <protection hidden="1"/>
    </xf>
    <xf numFmtId="0" fontId="4" fillId="51" borderId="52" xfId="0" applyFont="1" applyFill="1" applyBorder="1" applyAlignment="1">
      <alignment horizontal="center" vertical="center"/>
    </xf>
    <xf numFmtId="0" fontId="4" fillId="51" borderId="56" xfId="0" applyFont="1" applyFill="1" applyBorder="1" applyAlignment="1">
      <alignment horizontal="center" vertical="center"/>
    </xf>
    <xf numFmtId="0" fontId="4" fillId="51" borderId="62" xfId="0" applyFont="1" applyFill="1" applyBorder="1" applyAlignment="1">
      <alignment horizontal="center" vertical="center"/>
    </xf>
    <xf numFmtId="0" fontId="4" fillId="51" borderId="22" xfId="0" applyFont="1" applyFill="1" applyBorder="1" applyAlignment="1">
      <alignment horizontal="center" vertical="center"/>
    </xf>
    <xf numFmtId="0" fontId="4" fillId="51" borderId="23" xfId="0" applyFont="1" applyFill="1" applyBorder="1" applyAlignment="1">
      <alignment horizontal="center" vertical="center"/>
    </xf>
    <xf numFmtId="0" fontId="4" fillId="51" borderId="24" xfId="0" applyFont="1" applyFill="1" applyBorder="1" applyAlignment="1">
      <alignment horizontal="center" vertical="center"/>
    </xf>
    <xf numFmtId="0" fontId="4" fillId="53" borderId="22" xfId="0" applyFont="1" applyFill="1" applyBorder="1" applyAlignment="1" applyProtection="1">
      <alignment horizontal="center" vertical="center"/>
      <protection hidden="1"/>
    </xf>
    <xf numFmtId="0" fontId="4" fillId="53" borderId="23" xfId="0" applyFont="1" applyFill="1" applyBorder="1" applyAlignment="1" applyProtection="1">
      <alignment horizontal="center" vertical="center"/>
      <protection hidden="1"/>
    </xf>
    <xf numFmtId="0" fontId="4" fillId="53" borderId="24" xfId="0" applyFont="1" applyFill="1" applyBorder="1" applyAlignment="1" applyProtection="1">
      <alignment horizontal="center" vertical="center"/>
      <protection hidden="1"/>
    </xf>
    <xf numFmtId="0" fontId="2" fillId="0" borderId="4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left" vertical="center" wrapText="1"/>
    </xf>
    <xf numFmtId="0" fontId="8" fillId="34" borderId="39" xfId="0" applyFont="1" applyFill="1" applyBorder="1" applyAlignment="1">
      <alignment horizontal="center" vertical="center" wrapText="1"/>
    </xf>
    <xf numFmtId="0" fontId="8" fillId="34" borderId="32" xfId="0" applyFont="1" applyFill="1" applyBorder="1" applyAlignment="1">
      <alignment horizontal="center" vertical="center" wrapText="1"/>
    </xf>
    <xf numFmtId="0" fontId="5" fillId="0" borderId="39" xfId="0" applyFont="1" applyFill="1" applyBorder="1" applyAlignment="1">
      <alignment horizontal="left" vertical="center"/>
    </xf>
    <xf numFmtId="0" fontId="5" fillId="0" borderId="54" xfId="0" applyFont="1" applyFill="1" applyBorder="1" applyAlignment="1">
      <alignment horizontal="left" vertical="center"/>
    </xf>
    <xf numFmtId="1" fontId="88" fillId="0" borderId="52" xfId="53" applyNumberFormat="1" applyFont="1" applyFill="1" applyBorder="1" applyAlignment="1" applyProtection="1">
      <alignment horizontal="left" vertical="center"/>
      <protection locked="0"/>
    </xf>
    <xf numFmtId="1" fontId="88" fillId="0" borderId="56" xfId="53" applyNumberFormat="1" applyFont="1" applyFill="1" applyBorder="1" applyAlignment="1" applyProtection="1">
      <alignment horizontal="left" vertical="center"/>
      <protection locked="0"/>
    </xf>
    <xf numFmtId="1" fontId="88" fillId="0" borderId="62" xfId="53" applyNumberFormat="1" applyFont="1" applyFill="1" applyBorder="1" applyAlignment="1" applyProtection="1">
      <alignment horizontal="left" vertical="center"/>
      <protection locked="0"/>
    </xf>
    <xf numFmtId="0" fontId="11" fillId="34" borderId="51" xfId="0" applyFont="1" applyFill="1" applyBorder="1" applyAlignment="1">
      <alignment horizontal="center" vertical="center" wrapText="1"/>
    </xf>
    <xf numFmtId="0" fontId="11" fillId="34" borderId="68" xfId="0" applyFont="1" applyFill="1" applyBorder="1" applyAlignment="1">
      <alignment horizontal="center" vertical="center" wrapText="1"/>
    </xf>
    <xf numFmtId="0" fontId="11" fillId="34" borderId="73"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15" fillId="0" borderId="0" xfId="0" applyFont="1" applyAlignment="1" applyProtection="1">
      <alignment horizontal="left" vertical="center" wrapText="1"/>
      <protection hidden="1"/>
    </xf>
    <xf numFmtId="0" fontId="4" fillId="54" borderId="22" xfId="0" applyFont="1" applyFill="1" applyBorder="1" applyAlignment="1" applyProtection="1">
      <alignment horizontal="center" vertical="center"/>
      <protection hidden="1"/>
    </xf>
    <xf numFmtId="0" fontId="4" fillId="54" borderId="23" xfId="0" applyFont="1" applyFill="1" applyBorder="1" applyAlignment="1" applyProtection="1">
      <alignment horizontal="center" vertical="center"/>
      <protection hidden="1"/>
    </xf>
    <xf numFmtId="0" fontId="4" fillId="54" borderId="24" xfId="0" applyFont="1" applyFill="1" applyBorder="1" applyAlignment="1" applyProtection="1">
      <alignment horizontal="center" vertical="center"/>
      <protection hidden="1"/>
    </xf>
    <xf numFmtId="0" fontId="2" fillId="0" borderId="55" xfId="0" applyFont="1" applyFill="1" applyBorder="1" applyAlignment="1" applyProtection="1">
      <alignment horizontal="center" vertical="center" wrapText="1"/>
      <protection/>
    </xf>
    <xf numFmtId="0" fontId="2" fillId="0" borderId="54" xfId="0" applyFont="1" applyFill="1" applyBorder="1" applyAlignment="1" applyProtection="1">
      <alignment horizontal="center" vertical="center" wrapText="1"/>
      <protection/>
    </xf>
    <xf numFmtId="0" fontId="89" fillId="0" borderId="0" xfId="0" applyFont="1" applyAlignment="1">
      <alignment horizontal="center" vertical="center"/>
    </xf>
    <xf numFmtId="0" fontId="89" fillId="0" borderId="74" xfId="0" applyFont="1" applyBorder="1" applyAlignment="1">
      <alignment horizontal="center" vertical="center"/>
    </xf>
    <xf numFmtId="0" fontId="0" fillId="35" borderId="75" xfId="0" applyFont="1" applyFill="1" applyBorder="1" applyAlignment="1" applyProtection="1">
      <alignment horizontal="left" vertical="center"/>
      <protection locked="0"/>
    </xf>
    <xf numFmtId="0" fontId="0" fillId="35" borderId="76" xfId="0" applyFont="1" applyFill="1" applyBorder="1" applyAlignment="1" applyProtection="1">
      <alignment horizontal="left" vertical="center"/>
      <protection locked="0"/>
    </xf>
    <xf numFmtId="0" fontId="0" fillId="35" borderId="20" xfId="0" applyFont="1" applyFill="1" applyBorder="1" applyAlignment="1" applyProtection="1">
      <alignment horizontal="left" vertical="center"/>
      <protection locked="0"/>
    </xf>
    <xf numFmtId="1" fontId="0" fillId="35" borderId="75" xfId="0" applyNumberFormat="1" applyFont="1" applyFill="1" applyBorder="1" applyAlignment="1" applyProtection="1">
      <alignment horizontal="left" vertical="center"/>
      <protection locked="0"/>
    </xf>
    <xf numFmtId="1" fontId="0" fillId="35" borderId="76" xfId="0" applyNumberFormat="1" applyFont="1" applyFill="1" applyBorder="1" applyAlignment="1" applyProtection="1">
      <alignment horizontal="left" vertical="center"/>
      <protection locked="0"/>
    </xf>
    <xf numFmtId="1" fontId="0" fillId="35" borderId="20" xfId="0" applyNumberFormat="1" applyFont="1" applyFill="1" applyBorder="1" applyAlignment="1" applyProtection="1">
      <alignment horizontal="left" vertical="center"/>
      <protection locked="0"/>
    </xf>
    <xf numFmtId="0" fontId="78" fillId="0" borderId="0" xfId="0" applyFont="1" applyAlignment="1" applyProtection="1">
      <alignment horizontal="right" vertical="center"/>
      <protection/>
    </xf>
    <xf numFmtId="0" fontId="90" fillId="0" borderId="38" xfId="53" applyFont="1" applyBorder="1" applyAlignment="1" applyProtection="1">
      <alignment horizontal="center" vertical="center" wrapText="1"/>
      <protection locked="0"/>
    </xf>
    <xf numFmtId="0" fontId="90" fillId="0" borderId="32" xfId="53" applyFont="1" applyBorder="1" applyAlignment="1" applyProtection="1">
      <alignment horizontal="center" vertical="center" wrapText="1"/>
      <protection locked="0"/>
    </xf>
    <xf numFmtId="0" fontId="0" fillId="0" borderId="55" xfId="0" applyFont="1" applyBorder="1" applyAlignment="1" applyProtection="1">
      <alignment horizontal="center" vertical="center" wrapText="1"/>
      <protection/>
    </xf>
    <xf numFmtId="0" fontId="0" fillId="0" borderId="38" xfId="0" applyFont="1" applyBorder="1" applyAlignment="1" applyProtection="1">
      <alignment horizontal="center" vertical="center" wrapText="1"/>
      <protection/>
    </xf>
    <xf numFmtId="0" fontId="2" fillId="0" borderId="58" xfId="0" applyFont="1" applyBorder="1" applyAlignment="1">
      <alignment horizontal="center" vertical="center"/>
    </xf>
    <xf numFmtId="0" fontId="2" fillId="0" borderId="55" xfId="0" applyFont="1" applyFill="1" applyBorder="1" applyAlignment="1" applyProtection="1">
      <alignment horizontal="center" vertical="center"/>
      <protection/>
    </xf>
    <xf numFmtId="0" fontId="2" fillId="0" borderId="54" xfId="0" applyFont="1" applyFill="1" applyBorder="1" applyAlignment="1" applyProtection="1">
      <alignment horizontal="center" vertical="center"/>
      <protection/>
    </xf>
    <xf numFmtId="0" fontId="2" fillId="55" borderId="0" xfId="0" applyFont="1" applyFill="1" applyAlignment="1">
      <alignment horizontal="left" vertical="center" wrapText="1"/>
    </xf>
    <xf numFmtId="0" fontId="2" fillId="0" borderId="58" xfId="0" applyFont="1" applyBorder="1" applyAlignment="1">
      <alignment horizontal="center" vertical="center" wrapText="1"/>
    </xf>
    <xf numFmtId="0" fontId="16" fillId="0" borderId="0" xfId="0" applyFont="1" applyAlignment="1">
      <alignment horizontal="right" vertical="center"/>
    </xf>
    <xf numFmtId="0" fontId="2" fillId="0" borderId="17" xfId="0" applyFont="1" applyBorder="1" applyAlignment="1">
      <alignment horizontal="left" vertical="center" wrapText="1"/>
    </xf>
    <xf numFmtId="0" fontId="8" fillId="34" borderId="38" xfId="0" applyFont="1" applyFill="1" applyBorder="1" applyAlignment="1">
      <alignment horizontal="center" vertical="center" wrapText="1"/>
    </xf>
    <xf numFmtId="0" fontId="68" fillId="0" borderId="38" xfId="53"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55">
    <dxf>
      <font>
        <color theme="0"/>
      </font>
    </dxf>
    <dxf>
      <font>
        <b/>
        <i val="0"/>
      </font>
      <fill>
        <patternFill>
          <bgColor rgb="FFFF0000"/>
        </patternFill>
      </fill>
    </dxf>
    <dxf>
      <font>
        <color theme="0" tint="-0.149959996342659"/>
      </font>
      <fill>
        <patternFill>
          <bgColor theme="0" tint="-0.149959996342659"/>
        </patternFill>
      </fill>
    </dxf>
    <dxf>
      <fill>
        <patternFill>
          <bgColor theme="1" tint="0.49998000264167786"/>
        </patternFill>
      </fill>
    </dxf>
    <dxf>
      <font>
        <b/>
        <i val="0"/>
      </font>
      <fill>
        <patternFill>
          <bgColor rgb="FFFF0000"/>
        </patternFill>
      </fill>
    </dxf>
    <dxf>
      <font>
        <b/>
        <i val="0"/>
      </font>
      <fill>
        <patternFill>
          <bgColor theme="9" tint="-0.24993999302387238"/>
        </patternFill>
      </fill>
    </dxf>
    <dxf>
      <font>
        <b/>
        <i val="0"/>
      </font>
      <fill>
        <patternFill>
          <bgColor rgb="FFFF0000"/>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ont>
        <b/>
        <i val="0"/>
      </font>
      <fill>
        <patternFill>
          <bgColor rgb="FF92D050"/>
        </patternFill>
      </fill>
    </dxf>
    <dxf>
      <fill>
        <patternFill>
          <bgColor rgb="FFFF0000"/>
        </patternFill>
      </fill>
    </dxf>
    <dxf>
      <font>
        <b/>
        <i val="0"/>
      </font>
      <fill>
        <patternFill>
          <bgColor rgb="FFFF0000"/>
        </patternFill>
      </fill>
    </dxf>
    <dxf>
      <font>
        <b/>
        <i val="0"/>
      </font>
      <fill>
        <patternFill>
          <bgColor rgb="FFFF0000"/>
        </patternFill>
      </fill>
    </dxf>
    <dxf>
      <font>
        <b/>
        <i val="0"/>
      </font>
      <fill>
        <patternFill>
          <bgColor theme="9" tint="-0.24993999302387238"/>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rgb="FFFF0000"/>
        </patternFill>
      </fill>
    </dxf>
    <dxf>
      <font>
        <b/>
        <i val="0"/>
        <color theme="1"/>
      </font>
      <fill>
        <patternFill>
          <bgColor rgb="FFFF0000"/>
        </patternFill>
      </fill>
    </dxf>
    <dxf>
      <font>
        <b/>
        <i val="0"/>
      </font>
      <fill>
        <patternFill>
          <bgColor rgb="FFFF0000"/>
        </patternFill>
      </fill>
    </dxf>
    <dxf>
      <font>
        <b/>
        <i val="0"/>
      </font>
      <fill>
        <patternFill>
          <bgColor rgb="FFFF0000"/>
        </patternFill>
      </fill>
    </dxf>
    <dxf>
      <font>
        <color theme="0" tint="-0.149959996342659"/>
      </font>
      <fill>
        <patternFill>
          <bgColor theme="0" tint="-0.149959996342659"/>
        </patternFill>
      </fill>
    </dxf>
    <dxf>
      <fill>
        <patternFill>
          <bgColor rgb="FFFF0000"/>
        </patternFill>
      </fill>
    </dxf>
    <dxf>
      <font>
        <color theme="0" tint="-0.149959996342659"/>
      </font>
      <fill>
        <patternFill>
          <bgColor theme="0" tint="-0.149959996342659"/>
        </patternFill>
      </fill>
    </dxf>
    <dxf>
      <font>
        <color auto="1"/>
      </font>
      <fill>
        <patternFill>
          <fgColor theme="0" tint="-0.14990000426769257"/>
          <bgColor rgb="FFFF0000"/>
        </patternFill>
      </fill>
    </dxf>
    <dxf>
      <font>
        <color theme="0" tint="-0.149959996342659"/>
      </font>
      <fill>
        <patternFill>
          <bgColor theme="0" tint="-0.149959996342659"/>
        </patternFill>
      </fill>
    </dxf>
    <dxf>
      <font>
        <color theme="0" tint="-0.149959996342659"/>
      </font>
      <fill>
        <patternFill patternType="solid">
          <bgColor theme="0" tint="-0.149959996342659"/>
        </patternFill>
      </fill>
    </dxf>
    <dxf>
      <font>
        <color auto="1"/>
      </font>
      <fill>
        <patternFill>
          <bgColor rgb="FFFF0000"/>
        </patternFill>
      </fill>
    </dxf>
    <dxf>
      <font>
        <color auto="1"/>
      </font>
      <fill>
        <patternFill>
          <bgColor rgb="FFFFC000"/>
        </patternFill>
      </fill>
    </dxf>
    <dxf>
      <font>
        <color auto="1"/>
      </font>
      <fill>
        <patternFill>
          <bgColor rgb="FFFF0000"/>
        </patternFill>
      </fill>
    </dxf>
    <dxf>
      <font>
        <b/>
        <i val="0"/>
        <color theme="0"/>
      </font>
      <fill>
        <patternFill>
          <bgColor rgb="FF8C3200"/>
        </patternFill>
      </fill>
    </dxf>
    <dxf>
      <font>
        <b/>
        <i val="0"/>
      </font>
      <fill>
        <patternFill>
          <bgColor rgb="FFDCFF64"/>
        </patternFill>
      </fill>
    </dxf>
    <dxf>
      <font>
        <color theme="0"/>
      </font>
    </dxf>
    <dxf>
      <font>
        <color theme="1"/>
      </font>
      <fill>
        <patternFill>
          <bgColor rgb="FFFFFF00"/>
        </patternFill>
      </fill>
    </dxf>
    <dxf>
      <font>
        <color auto="1"/>
      </font>
      <fill>
        <patternFill>
          <bgColor rgb="FFFF0000"/>
        </patternFill>
      </fill>
    </dxf>
    <dxf>
      <font>
        <color theme="0" tint="-0.149959996342659"/>
      </font>
      <fill>
        <patternFill>
          <bgColor theme="0" tint="-0.149959996342659"/>
        </patternFill>
      </fill>
    </dxf>
    <dxf>
      <font>
        <b/>
        <i val="0"/>
      </font>
      <fill>
        <patternFill>
          <bgColor indexed="11"/>
        </patternFill>
      </fill>
    </dxf>
    <dxf>
      <font>
        <b/>
        <i val="0"/>
        <name val="Cambria"/>
        <color theme="0"/>
      </font>
      <fill>
        <patternFill>
          <bgColor rgb="FF8C3200"/>
        </patternFill>
      </fill>
    </dxf>
    <dxf>
      <font>
        <b/>
        <i val="0"/>
      </font>
      <fill>
        <patternFill>
          <bgColor rgb="FFDCFF64"/>
        </patternFill>
      </fill>
    </dxf>
    <dxf>
      <font>
        <color theme="0"/>
      </font>
    </dxf>
    <dxf>
      <font>
        <b/>
        <i val="0"/>
      </font>
      <fill>
        <patternFill>
          <bgColor rgb="FFFF0000"/>
        </patternFill>
      </fill>
    </dxf>
    <dxf>
      <fill>
        <patternFill>
          <bgColor rgb="FFFF0000"/>
        </patternFill>
      </fill>
    </dxf>
    <dxf>
      <fill>
        <patternFill>
          <bgColor theme="1" tint="0.49998000264167786"/>
        </patternFill>
      </fill>
    </dxf>
    <dxf>
      <fill>
        <patternFill>
          <bgColor rgb="FFFF0000"/>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ont>
        <b/>
        <i val="0"/>
      </font>
      <fill>
        <patternFill>
          <bgColor rgb="FF92D050"/>
        </patternFill>
      </fill>
    </dxf>
    <dxf>
      <fill>
        <patternFill>
          <bgColor rgb="FFFF0000"/>
        </patternFill>
      </fill>
    </dxf>
    <dxf>
      <font>
        <b/>
        <i val="0"/>
      </font>
      <fill>
        <patternFill>
          <bgColor theme="9" tint="-0.24993999302387238"/>
        </patternFill>
      </fill>
    </dxf>
    <dxf>
      <font>
        <b/>
        <i val="0"/>
      </font>
      <fill>
        <patternFill>
          <bgColor rgb="FFFF0000"/>
        </patternFill>
      </fill>
    </dxf>
    <dxf>
      <font>
        <b/>
        <i val="0"/>
      </font>
      <fill>
        <patternFill>
          <bgColor rgb="FFFF0000"/>
        </patternFill>
      </fill>
    </dxf>
    <dxf>
      <font>
        <b/>
        <i val="0"/>
        <color theme="1"/>
      </font>
      <fill>
        <patternFill>
          <bgColor rgb="FFFF0000"/>
        </patternFill>
      </fill>
    </dxf>
    <dxf>
      <font>
        <b/>
        <i val="0"/>
        <color theme="1"/>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color theme="0" tint="-0.149959996342659"/>
      </font>
      <fill>
        <patternFill>
          <bgColor theme="0" tint="-0.149959996342659"/>
        </patternFill>
      </fill>
    </dxf>
    <dxf>
      <fill>
        <patternFill>
          <bgColor rgb="FFFF0000"/>
        </patternFill>
      </fill>
    </dxf>
    <dxf>
      <font>
        <color theme="0" tint="-0.149959996342659"/>
      </font>
      <fill>
        <patternFill>
          <bgColor theme="0" tint="-0.149959996342659"/>
        </patternFill>
      </fill>
    </dxf>
    <dxf>
      <font>
        <color auto="1"/>
      </font>
      <fill>
        <patternFill>
          <bgColor rgb="FFFF0000"/>
        </patternFill>
      </fill>
    </dxf>
    <dxf>
      <font>
        <color theme="1"/>
      </font>
      <fill>
        <patternFill>
          <bgColor rgb="FFFFFF00"/>
        </patternFill>
      </fill>
    </dxf>
    <dxf>
      <font>
        <color theme="0" tint="-0.149959996342659"/>
      </font>
      <fill>
        <patternFill patternType="solid">
          <bgColor theme="0" tint="-0.149959996342659"/>
        </patternFill>
      </fill>
    </dxf>
    <dxf>
      <font>
        <color auto="1"/>
      </font>
      <fill>
        <patternFill>
          <bgColor rgb="FFFF0000"/>
        </patternFill>
      </fill>
    </dxf>
    <dxf>
      <font>
        <color auto="1"/>
      </font>
      <fill>
        <patternFill>
          <bgColor rgb="FFFFC000"/>
        </patternFill>
      </fill>
    </dxf>
    <dxf>
      <font>
        <b/>
        <i val="0"/>
        <color theme="0"/>
      </font>
      <fill>
        <patternFill>
          <bgColor rgb="FF8C3200"/>
        </patternFill>
      </fill>
    </dxf>
    <dxf>
      <font>
        <b/>
        <i val="0"/>
      </font>
      <fill>
        <patternFill>
          <bgColor rgb="FFDCFF64"/>
        </patternFill>
      </fill>
    </dxf>
    <dxf>
      <font>
        <color theme="0"/>
      </font>
    </dxf>
    <dxf>
      <font>
        <b/>
        <i val="0"/>
      </font>
      <fill>
        <patternFill>
          <bgColor indexed="11"/>
        </patternFill>
      </fill>
    </dxf>
    <dxf>
      <font>
        <b/>
        <i val="0"/>
      </font>
      <fill>
        <patternFill>
          <bgColor rgb="FF8C3200"/>
        </patternFill>
      </fill>
    </dxf>
    <dxf>
      <font>
        <b/>
        <i val="0"/>
      </font>
      <fill>
        <patternFill>
          <bgColor rgb="FFDCFF6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uah.edu/images/Engineering/mechanical-aerospace/pdfs/Planned%20Offering%20of%20Undergraduate%20Courses%202009-2014%20rev%202-21-12.pdf" TargetMode="External" /><Relationship Id="rId2" Type="http://schemas.openxmlformats.org/officeDocument/2006/relationships/hyperlink" Target="http://www.uah.edu/images/colleges/engineering/CUE2%20Files/Forms/HSBS_HFA_Requirements.pdf"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ah.edu/images/Engineering/mechanical-aerospace/pdfs/Planned%20Offering%20of%20Undergraduate%20Courses%202009-2014%20rev%202-21-12.pdf" TargetMode="External" /><Relationship Id="rId2" Type="http://schemas.openxmlformats.org/officeDocument/2006/relationships/hyperlink" Target="http://www.uah.edu/images/colleges/engineering/CUE2%20Files/Forms/HSBS_HFA_Requirements.pdf" TargetMode="Externa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3" tint="-0.24997000396251678"/>
  </sheetPr>
  <dimension ref="A1:P48"/>
  <sheetViews>
    <sheetView tabSelected="1" zoomScalePageLayoutView="0" workbookViewId="0" topLeftCell="A1">
      <selection activeCell="A3" sqref="A3:N3"/>
    </sheetView>
  </sheetViews>
  <sheetFormatPr defaultColWidth="9.140625" defaultRowHeight="12.75"/>
  <cols>
    <col min="1" max="14" width="10.140625" style="0" customWidth="1"/>
  </cols>
  <sheetData>
    <row r="1" spans="1:14" s="121" customFormat="1" ht="30" customHeight="1">
      <c r="A1" s="197" t="s">
        <v>267</v>
      </c>
      <c r="B1" s="197"/>
      <c r="C1" s="197"/>
      <c r="D1" s="197"/>
      <c r="E1" s="197"/>
      <c r="F1" s="197"/>
      <c r="G1" s="197"/>
      <c r="H1" s="197"/>
      <c r="I1" s="197"/>
      <c r="J1" s="197"/>
      <c r="K1" s="120"/>
      <c r="L1" s="120"/>
      <c r="M1" s="120"/>
      <c r="N1" s="120"/>
    </row>
    <row r="2" spans="1:14" ht="17.25" customHeight="1">
      <c r="A2" s="197"/>
      <c r="B2" s="197"/>
      <c r="C2" s="197"/>
      <c r="D2" s="197"/>
      <c r="E2" s="197"/>
      <c r="F2" s="197"/>
      <c r="G2" s="197"/>
      <c r="H2" s="197"/>
      <c r="I2" s="197"/>
      <c r="J2" s="197"/>
      <c r="K2" s="120"/>
      <c r="L2" s="120"/>
      <c r="M2" s="120"/>
      <c r="N2" s="120"/>
    </row>
    <row r="3" spans="1:14" ht="27" customHeight="1">
      <c r="A3" s="378" t="s">
        <v>182</v>
      </c>
      <c r="B3" s="378"/>
      <c r="C3" s="378"/>
      <c r="D3" s="378"/>
      <c r="E3" s="378"/>
      <c r="F3" s="378"/>
      <c r="G3" s="378"/>
      <c r="H3" s="378"/>
      <c r="I3" s="378"/>
      <c r="J3" s="378"/>
      <c r="K3" s="378"/>
      <c r="L3" s="378"/>
      <c r="M3" s="378"/>
      <c r="N3" s="378"/>
    </row>
    <row r="4" spans="1:14" ht="17.25" customHeight="1">
      <c r="A4" s="112"/>
      <c r="B4" s="112"/>
      <c r="C4" s="112"/>
      <c r="D4" s="112"/>
      <c r="E4" s="112"/>
      <c r="F4" s="112"/>
      <c r="G4" s="112"/>
      <c r="H4" s="112"/>
      <c r="I4" s="112"/>
      <c r="J4" s="112"/>
      <c r="K4" s="112"/>
      <c r="L4" s="112"/>
      <c r="M4" s="112"/>
      <c r="N4" s="112"/>
    </row>
    <row r="5" spans="1:14" ht="57.75" customHeight="1">
      <c r="A5" s="377" t="s">
        <v>183</v>
      </c>
      <c r="B5" s="377"/>
      <c r="C5" s="377"/>
      <c r="D5" s="377"/>
      <c r="E5" s="377"/>
      <c r="F5" s="377"/>
      <c r="G5" s="377"/>
      <c r="H5" s="377"/>
      <c r="I5" s="377"/>
      <c r="J5" s="377"/>
      <c r="K5" s="377"/>
      <c r="L5" s="377"/>
      <c r="M5" s="377"/>
      <c r="N5" s="377"/>
    </row>
    <row r="6" spans="1:14" ht="17.25" customHeight="1">
      <c r="A6" s="112"/>
      <c r="B6" s="112"/>
      <c r="C6" s="112"/>
      <c r="D6" s="112"/>
      <c r="E6" s="112"/>
      <c r="F6" s="112"/>
      <c r="G6" s="112"/>
      <c r="H6" s="112"/>
      <c r="I6" s="112"/>
      <c r="J6" s="112"/>
      <c r="K6" s="112"/>
      <c r="L6" s="112"/>
      <c r="M6" s="112"/>
      <c r="N6" s="112"/>
    </row>
    <row r="7" spans="1:14" ht="17.25" customHeight="1">
      <c r="A7" s="195" t="s">
        <v>158</v>
      </c>
      <c r="B7" s="195" t="s">
        <v>184</v>
      </c>
      <c r="C7" s="112"/>
      <c r="D7" s="112"/>
      <c r="E7" s="112"/>
      <c r="F7" s="112"/>
      <c r="G7" s="112"/>
      <c r="H7" s="112"/>
      <c r="I7" s="112"/>
      <c r="J7" s="112"/>
      <c r="K7" s="112"/>
      <c r="L7" s="112"/>
      <c r="M7" s="112"/>
      <c r="N7" s="112"/>
    </row>
    <row r="8" spans="1:14" s="122" customFormat="1" ht="17.25" customHeight="1">
      <c r="A8" s="195"/>
      <c r="B8" s="195"/>
      <c r="C8" s="123"/>
      <c r="D8" s="123"/>
      <c r="E8" s="123"/>
      <c r="F8" s="123"/>
      <c r="G8" s="123"/>
      <c r="H8" s="123"/>
      <c r="I8" s="123"/>
      <c r="J8" s="123"/>
      <c r="K8" s="123"/>
      <c r="L8" s="123"/>
      <c r="M8" s="123"/>
      <c r="N8" s="123"/>
    </row>
    <row r="9" spans="1:14" s="122" customFormat="1" ht="57.75" customHeight="1">
      <c r="A9" s="377" t="s">
        <v>185</v>
      </c>
      <c r="B9" s="377"/>
      <c r="C9" s="377"/>
      <c r="D9" s="377"/>
      <c r="E9" s="377"/>
      <c r="F9" s="377"/>
      <c r="G9" s="377"/>
      <c r="H9" s="377"/>
      <c r="I9" s="377"/>
      <c r="J9" s="377"/>
      <c r="K9" s="377"/>
      <c r="L9" s="377"/>
      <c r="M9" s="377"/>
      <c r="N9" s="377"/>
    </row>
    <row r="10" spans="1:14" s="44" customFormat="1" ht="17.25" customHeight="1">
      <c r="A10" s="112"/>
      <c r="B10" s="112"/>
      <c r="C10" s="112"/>
      <c r="D10" s="112"/>
      <c r="E10" s="112"/>
      <c r="F10" s="112"/>
      <c r="G10" s="112"/>
      <c r="H10" s="112"/>
      <c r="I10" s="112"/>
      <c r="J10" s="112"/>
      <c r="K10" s="112"/>
      <c r="L10" s="112"/>
      <c r="M10" s="112"/>
      <c r="N10" s="112"/>
    </row>
    <row r="11" spans="1:14" ht="17.25" customHeight="1">
      <c r="A11" s="195" t="s">
        <v>159</v>
      </c>
      <c r="B11" s="376" t="s">
        <v>186</v>
      </c>
      <c r="C11" s="376"/>
      <c r="D11" s="376"/>
      <c r="E11" s="376"/>
      <c r="F11" s="376"/>
      <c r="G11" s="376"/>
      <c r="H11" s="376"/>
      <c r="I11" s="376"/>
      <c r="J11" s="376"/>
      <c r="K11" s="376"/>
      <c r="L11" s="376"/>
      <c r="M11" s="376"/>
      <c r="N11" s="376"/>
    </row>
    <row r="12" spans="2:14" s="195" customFormat="1" ht="17.25" customHeight="1">
      <c r="B12" s="376"/>
      <c r="C12" s="376"/>
      <c r="D12" s="376"/>
      <c r="E12" s="376"/>
      <c r="F12" s="376"/>
      <c r="G12" s="376"/>
      <c r="H12" s="376"/>
      <c r="I12" s="376"/>
      <c r="J12" s="376"/>
      <c r="K12" s="376"/>
      <c r="L12" s="376"/>
      <c r="M12" s="376"/>
      <c r="N12" s="376"/>
    </row>
    <row r="13" spans="1:14" s="122" customFormat="1" ht="17.25" customHeight="1">
      <c r="A13" s="196"/>
      <c r="B13" s="195"/>
      <c r="N13" s="193"/>
    </row>
    <row r="14" spans="1:14" s="122" customFormat="1" ht="17.25" customHeight="1">
      <c r="A14" s="196" t="s">
        <v>159</v>
      </c>
      <c r="B14" s="195" t="s">
        <v>251</v>
      </c>
      <c r="C14"/>
      <c r="D14"/>
      <c r="E14"/>
      <c r="F14"/>
      <c r="G14"/>
      <c r="H14"/>
      <c r="I14"/>
      <c r="J14"/>
      <c r="K14"/>
      <c r="L14"/>
      <c r="M14"/>
      <c r="N14" s="194"/>
    </row>
    <row r="15" spans="1:14" s="195" customFormat="1" ht="17.25" customHeight="1">
      <c r="A15" s="112"/>
      <c r="B15" s="112"/>
      <c r="C15" s="112"/>
      <c r="D15" s="112"/>
      <c r="E15" s="112"/>
      <c r="F15" s="112"/>
      <c r="G15" s="112"/>
      <c r="H15" s="112"/>
      <c r="I15" s="112"/>
      <c r="J15" s="112"/>
      <c r="K15" s="112"/>
      <c r="L15" s="112"/>
      <c r="M15" s="112"/>
      <c r="N15" s="112"/>
    </row>
    <row r="16" spans="1:14" s="195" customFormat="1" ht="82.5" customHeight="1">
      <c r="A16" s="377" t="s">
        <v>264</v>
      </c>
      <c r="B16" s="377"/>
      <c r="C16" s="377"/>
      <c r="D16" s="377"/>
      <c r="E16" s="377"/>
      <c r="F16" s="377"/>
      <c r="G16" s="377"/>
      <c r="H16" s="377"/>
      <c r="I16" s="377"/>
      <c r="J16" s="377"/>
      <c r="K16" s="377"/>
      <c r="L16" s="377"/>
      <c r="M16" s="377"/>
      <c r="N16" s="377"/>
    </row>
    <row r="17" spans="1:14" ht="17.25" customHeight="1">
      <c r="A17" s="323"/>
      <c r="B17" s="323"/>
      <c r="C17" s="323"/>
      <c r="D17" s="323"/>
      <c r="E17" s="323"/>
      <c r="F17" s="323"/>
      <c r="G17" s="323"/>
      <c r="H17" s="323"/>
      <c r="I17" s="323"/>
      <c r="J17" s="323"/>
      <c r="K17" s="323"/>
      <c r="L17" s="323"/>
      <c r="M17" s="323"/>
      <c r="N17" s="323"/>
    </row>
    <row r="18" spans="1:14" s="195" customFormat="1" ht="57.75" customHeight="1">
      <c r="A18" s="377" t="s">
        <v>265</v>
      </c>
      <c r="B18" s="377"/>
      <c r="C18" s="377"/>
      <c r="D18" s="377"/>
      <c r="E18" s="377"/>
      <c r="F18" s="377"/>
      <c r="G18" s="377"/>
      <c r="H18" s="377"/>
      <c r="I18" s="377"/>
      <c r="J18" s="377"/>
      <c r="K18" s="377"/>
      <c r="L18" s="377"/>
      <c r="M18" s="377"/>
      <c r="N18" s="377"/>
    </row>
    <row r="19" spans="1:14" ht="17.25" customHeight="1">
      <c r="A19" s="323"/>
      <c r="B19" s="323"/>
      <c r="C19" s="323"/>
      <c r="D19" s="323"/>
      <c r="E19" s="323"/>
      <c r="F19" s="323"/>
      <c r="G19" s="323"/>
      <c r="H19" s="323"/>
      <c r="I19" s="323"/>
      <c r="J19" s="323"/>
      <c r="K19" s="323"/>
      <c r="L19" s="323"/>
      <c r="M19" s="323"/>
      <c r="N19" s="323"/>
    </row>
    <row r="20" spans="1:13" s="122" customFormat="1" ht="17.25" customHeight="1">
      <c r="A20" s="195" t="s">
        <v>159</v>
      </c>
      <c r="B20" s="376" t="s">
        <v>201</v>
      </c>
      <c r="C20" s="376"/>
      <c r="D20" s="376"/>
      <c r="E20" s="376"/>
      <c r="F20" s="376"/>
      <c r="G20" s="376"/>
      <c r="H20" s="376"/>
      <c r="I20" s="376"/>
      <c r="J20" s="376"/>
      <c r="K20" s="376"/>
      <c r="L20" s="376"/>
      <c r="M20" s="376"/>
    </row>
    <row r="21" spans="1:13" s="122" customFormat="1" ht="17.25" customHeight="1">
      <c r="A21" s="195"/>
      <c r="B21" s="376"/>
      <c r="C21" s="376"/>
      <c r="D21" s="376"/>
      <c r="E21" s="376"/>
      <c r="F21" s="376"/>
      <c r="G21" s="376"/>
      <c r="H21" s="376"/>
      <c r="I21" s="376"/>
      <c r="J21" s="376"/>
      <c r="K21" s="376"/>
      <c r="L21" s="376"/>
      <c r="M21" s="376"/>
    </row>
    <row r="22" spans="1:14" ht="17.25" customHeight="1">
      <c r="A22" s="195"/>
      <c r="B22" s="376"/>
      <c r="C22" s="376"/>
      <c r="D22" s="376"/>
      <c r="E22" s="376"/>
      <c r="F22" s="376"/>
      <c r="G22" s="376"/>
      <c r="H22" s="376"/>
      <c r="I22" s="376"/>
      <c r="J22" s="376"/>
      <c r="K22" s="376"/>
      <c r="L22" s="376"/>
      <c r="M22" s="376"/>
      <c r="N22" s="112"/>
    </row>
    <row r="23" spans="1:14" s="122" customFormat="1" ht="17.25" customHeight="1">
      <c r="A23" s="195"/>
      <c r="B23" s="195"/>
      <c r="C23" s="112"/>
      <c r="D23" s="112"/>
      <c r="E23" s="112"/>
      <c r="F23" s="112"/>
      <c r="G23" s="112"/>
      <c r="H23" s="112"/>
      <c r="I23" s="112"/>
      <c r="J23" s="112"/>
      <c r="K23" s="112"/>
      <c r="L23" s="112"/>
      <c r="M23" s="112"/>
      <c r="N23" s="112"/>
    </row>
    <row r="24" spans="1:13" s="122" customFormat="1" ht="17.25" customHeight="1">
      <c r="A24" s="195" t="s">
        <v>159</v>
      </c>
      <c r="B24" s="376" t="s">
        <v>263</v>
      </c>
      <c r="C24" s="376"/>
      <c r="D24" s="376"/>
      <c r="E24" s="376"/>
      <c r="F24" s="376"/>
      <c r="G24" s="376"/>
      <c r="H24" s="376"/>
      <c r="I24" s="376"/>
      <c r="J24" s="376"/>
      <c r="K24" s="376"/>
      <c r="L24" s="376"/>
      <c r="M24" s="376"/>
    </row>
    <row r="25" spans="1:13" s="122" customFormat="1" ht="17.25" customHeight="1">
      <c r="A25" s="195"/>
      <c r="B25" s="376"/>
      <c r="C25" s="376"/>
      <c r="D25" s="376"/>
      <c r="E25" s="376"/>
      <c r="F25" s="376"/>
      <c r="G25" s="376"/>
      <c r="H25" s="376"/>
      <c r="I25" s="376"/>
      <c r="J25" s="376"/>
      <c r="K25" s="376"/>
      <c r="L25" s="376"/>
      <c r="M25" s="376"/>
    </row>
    <row r="26" spans="1:14" s="122" customFormat="1" ht="17.25" customHeight="1">
      <c r="A26" s="195"/>
      <c r="B26" s="195"/>
      <c r="C26" s="112"/>
      <c r="D26" s="112"/>
      <c r="E26" s="112"/>
      <c r="F26" s="112"/>
      <c r="G26" s="112"/>
      <c r="H26" s="112"/>
      <c r="I26" s="112"/>
      <c r="J26" s="112"/>
      <c r="K26" s="112"/>
      <c r="L26" s="112"/>
      <c r="M26" s="112"/>
      <c r="N26" s="112"/>
    </row>
    <row r="27" spans="1:13" s="122" customFormat="1" ht="17.25" customHeight="1">
      <c r="A27" s="196" t="s">
        <v>159</v>
      </c>
      <c r="B27" s="376" t="s">
        <v>266</v>
      </c>
      <c r="C27" s="376"/>
      <c r="D27" s="376"/>
      <c r="E27" s="376"/>
      <c r="F27" s="376"/>
      <c r="G27" s="376"/>
      <c r="H27" s="376"/>
      <c r="I27" s="376"/>
      <c r="J27" s="376"/>
      <c r="K27" s="376"/>
      <c r="L27" s="376"/>
      <c r="M27" s="376"/>
    </row>
    <row r="28" spans="1:13" s="122" customFormat="1" ht="17.25" customHeight="1">
      <c r="A28" s="195"/>
      <c r="B28" s="376"/>
      <c r="C28" s="376"/>
      <c r="D28" s="376"/>
      <c r="E28" s="376"/>
      <c r="F28" s="376"/>
      <c r="G28" s="376"/>
      <c r="H28" s="376"/>
      <c r="I28" s="376"/>
      <c r="J28" s="376"/>
      <c r="K28" s="376"/>
      <c r="L28" s="376"/>
      <c r="M28" s="376"/>
    </row>
    <row r="29" spans="1:13" s="122" customFormat="1" ht="17.25" customHeight="1">
      <c r="A29" s="195"/>
      <c r="B29" s="376"/>
      <c r="C29" s="376"/>
      <c r="D29" s="376"/>
      <c r="E29" s="376"/>
      <c r="F29" s="376"/>
      <c r="G29" s="376"/>
      <c r="H29" s="376"/>
      <c r="I29" s="376"/>
      <c r="J29" s="376"/>
      <c r="K29" s="376"/>
      <c r="L29" s="376"/>
      <c r="M29" s="376"/>
    </row>
    <row r="30" spans="1:14" s="122" customFormat="1" ht="17.25" customHeight="1">
      <c r="A30" s="195"/>
      <c r="B30" s="195"/>
      <c r="C30" s="112"/>
      <c r="D30" s="112"/>
      <c r="E30" s="112"/>
      <c r="F30" s="112"/>
      <c r="G30" s="112"/>
      <c r="H30" s="112"/>
      <c r="I30" s="112"/>
      <c r="J30" s="112"/>
      <c r="K30" s="112"/>
      <c r="L30" s="112"/>
      <c r="M30" s="112"/>
      <c r="N30" s="112"/>
    </row>
    <row r="31" spans="1:14" ht="17.25" customHeight="1">
      <c r="A31" s="196" t="s">
        <v>159</v>
      </c>
      <c r="B31" s="376" t="s">
        <v>262</v>
      </c>
      <c r="C31" s="376"/>
      <c r="D31" s="376"/>
      <c r="E31" s="376"/>
      <c r="F31" s="376"/>
      <c r="G31" s="376"/>
      <c r="H31" s="376"/>
      <c r="I31" s="376"/>
      <c r="J31" s="376"/>
      <c r="K31" s="376"/>
      <c r="L31" s="376"/>
      <c r="M31" s="376"/>
      <c r="N31" s="193"/>
    </row>
    <row r="32" spans="1:14" ht="17.25" customHeight="1">
      <c r="A32" s="196"/>
      <c r="B32" s="376"/>
      <c r="C32" s="376"/>
      <c r="D32" s="376"/>
      <c r="E32" s="376"/>
      <c r="F32" s="376"/>
      <c r="G32" s="376"/>
      <c r="H32" s="376"/>
      <c r="I32" s="376"/>
      <c r="J32" s="376"/>
      <c r="K32" s="376"/>
      <c r="L32" s="376"/>
      <c r="M32" s="376"/>
      <c r="N32" s="193"/>
    </row>
    <row r="33" spans="1:14" s="122" customFormat="1" ht="17.25" customHeight="1">
      <c r="A33" s="195"/>
      <c r="B33" s="195"/>
      <c r="C33"/>
      <c r="D33"/>
      <c r="E33"/>
      <c r="F33"/>
      <c r="G33"/>
      <c r="H33"/>
      <c r="I33"/>
      <c r="J33"/>
      <c r="K33"/>
      <c r="L33"/>
      <c r="M33"/>
      <c r="N33" s="194"/>
    </row>
    <row r="34" spans="1:16" ht="17.25" customHeight="1">
      <c r="A34" s="195" t="s">
        <v>159</v>
      </c>
      <c r="B34" s="379" t="s">
        <v>187</v>
      </c>
      <c r="C34" s="379"/>
      <c r="D34" s="379"/>
      <c r="E34" s="379"/>
      <c r="F34" s="379"/>
      <c r="G34" s="379"/>
      <c r="H34" s="379"/>
      <c r="I34" s="379"/>
      <c r="J34" s="379"/>
      <c r="K34" s="379"/>
      <c r="L34" s="379"/>
      <c r="M34" s="379"/>
      <c r="N34" s="194"/>
      <c r="P34" s="194"/>
    </row>
    <row r="35" spans="1:16" ht="17.25" customHeight="1">
      <c r="A35" s="195"/>
      <c r="B35" s="379"/>
      <c r="C35" s="379"/>
      <c r="D35" s="379"/>
      <c r="E35" s="379"/>
      <c r="F35" s="379"/>
      <c r="G35" s="379"/>
      <c r="H35" s="379"/>
      <c r="I35" s="379"/>
      <c r="J35" s="379"/>
      <c r="K35" s="379"/>
      <c r="L35" s="379"/>
      <c r="M35" s="379"/>
      <c r="N35" s="194"/>
      <c r="P35" s="194"/>
    </row>
    <row r="36" spans="1:14" s="122" customFormat="1" ht="17.25" customHeight="1">
      <c r="A36" s="195"/>
      <c r="B36" s="195"/>
      <c r="C36" s="112"/>
      <c r="D36" s="112"/>
      <c r="E36" s="112"/>
      <c r="F36" s="112"/>
      <c r="G36" s="112"/>
      <c r="H36" s="112"/>
      <c r="I36" s="112"/>
      <c r="J36" s="112"/>
      <c r="K36" s="112"/>
      <c r="L36" s="112"/>
      <c r="M36" s="112"/>
      <c r="N36" s="194"/>
    </row>
    <row r="37" spans="1:14" s="122" customFormat="1" ht="17.25" customHeight="1">
      <c r="A37" s="196" t="s">
        <v>159</v>
      </c>
      <c r="B37" s="376" t="s">
        <v>202</v>
      </c>
      <c r="C37" s="376"/>
      <c r="D37" s="376"/>
      <c r="E37" s="376"/>
      <c r="F37" s="376"/>
      <c r="G37" s="376"/>
      <c r="H37" s="376"/>
      <c r="I37" s="376"/>
      <c r="J37" s="376"/>
      <c r="K37" s="376"/>
      <c r="L37" s="376"/>
      <c r="M37" s="376"/>
      <c r="N37" s="112"/>
    </row>
    <row r="38" spans="1:14" ht="17.25" customHeight="1">
      <c r="A38" s="195"/>
      <c r="B38" s="376"/>
      <c r="C38" s="376"/>
      <c r="D38" s="376"/>
      <c r="E38" s="376"/>
      <c r="F38" s="376"/>
      <c r="G38" s="376"/>
      <c r="H38" s="376"/>
      <c r="I38" s="376"/>
      <c r="J38" s="376"/>
      <c r="K38" s="376"/>
      <c r="L38" s="376"/>
      <c r="M38" s="376"/>
      <c r="N38" s="122"/>
    </row>
    <row r="39" spans="1:13" ht="17.25" customHeight="1">
      <c r="A39" s="195"/>
      <c r="B39" s="376"/>
      <c r="C39" s="376"/>
      <c r="D39" s="376"/>
      <c r="E39" s="376"/>
      <c r="F39" s="376"/>
      <c r="G39" s="376"/>
      <c r="H39" s="376"/>
      <c r="I39" s="376"/>
      <c r="J39" s="376"/>
      <c r="K39" s="376"/>
      <c r="L39" s="376"/>
      <c r="M39" s="376"/>
    </row>
    <row r="40" spans="1:14" ht="17.25" customHeight="1">
      <c r="A40" s="122"/>
      <c r="B40" s="122"/>
      <c r="C40" s="122"/>
      <c r="D40" s="122"/>
      <c r="E40" s="122"/>
      <c r="F40" s="122"/>
      <c r="G40" s="122"/>
      <c r="H40" s="122"/>
      <c r="I40" s="122"/>
      <c r="J40" s="122"/>
      <c r="K40" s="122"/>
      <c r="L40" s="122"/>
      <c r="M40" s="122"/>
      <c r="N40" s="122"/>
    </row>
    <row r="41" spans="1:14" ht="20.25">
      <c r="A41" s="196" t="s">
        <v>159</v>
      </c>
      <c r="B41" s="376" t="s">
        <v>203</v>
      </c>
      <c r="C41" s="376"/>
      <c r="D41" s="376"/>
      <c r="E41" s="376"/>
      <c r="F41" s="376"/>
      <c r="G41" s="376"/>
      <c r="H41" s="376"/>
      <c r="I41" s="376"/>
      <c r="J41" s="376"/>
      <c r="K41" s="376"/>
      <c r="L41" s="376"/>
      <c r="M41" s="376"/>
      <c r="N41" s="122"/>
    </row>
    <row r="42" spans="1:14" ht="18" customHeight="1">
      <c r="A42" s="195"/>
      <c r="B42" s="195"/>
      <c r="C42" s="194"/>
      <c r="D42" s="194"/>
      <c r="E42" s="194"/>
      <c r="F42" s="194"/>
      <c r="G42" s="194"/>
      <c r="H42" s="194"/>
      <c r="I42" s="194"/>
      <c r="J42" s="194"/>
      <c r="K42" s="194"/>
      <c r="L42" s="194"/>
      <c r="M42" s="194"/>
      <c r="N42" s="122"/>
    </row>
    <row r="43" spans="1:14" ht="18">
      <c r="A43" s="195" t="s">
        <v>159</v>
      </c>
      <c r="B43" s="376" t="s">
        <v>204</v>
      </c>
      <c r="C43" s="376"/>
      <c r="D43" s="376"/>
      <c r="E43" s="376"/>
      <c r="F43" s="376"/>
      <c r="G43" s="376"/>
      <c r="H43" s="376"/>
      <c r="I43" s="376"/>
      <c r="J43" s="376"/>
      <c r="K43" s="376"/>
      <c r="L43" s="376"/>
      <c r="M43" s="376"/>
      <c r="N43" s="195"/>
    </row>
    <row r="44" spans="1:14" ht="18" customHeight="1">
      <c r="A44" s="195"/>
      <c r="B44" s="376"/>
      <c r="C44" s="376"/>
      <c r="D44" s="376"/>
      <c r="E44" s="376"/>
      <c r="F44" s="376"/>
      <c r="G44" s="376"/>
      <c r="H44" s="376"/>
      <c r="I44" s="376"/>
      <c r="J44" s="376"/>
      <c r="K44" s="376"/>
      <c r="L44" s="376"/>
      <c r="M44" s="376"/>
      <c r="N44" s="195"/>
    </row>
    <row r="46" spans="1:13" ht="18">
      <c r="A46" s="195" t="s">
        <v>159</v>
      </c>
      <c r="B46" s="376" t="s">
        <v>205</v>
      </c>
      <c r="C46" s="376"/>
      <c r="D46" s="376"/>
      <c r="E46" s="376"/>
      <c r="F46" s="376"/>
      <c r="G46" s="376"/>
      <c r="H46" s="376"/>
      <c r="I46" s="376"/>
      <c r="J46" s="376"/>
      <c r="K46" s="376"/>
      <c r="L46" s="376"/>
      <c r="M46" s="376"/>
    </row>
    <row r="47" spans="1:13" ht="18">
      <c r="A47" s="195"/>
      <c r="B47" s="376"/>
      <c r="C47" s="376"/>
      <c r="D47" s="376"/>
      <c r="E47" s="376"/>
      <c r="F47" s="376"/>
      <c r="G47" s="376"/>
      <c r="H47" s="376"/>
      <c r="I47" s="376"/>
      <c r="J47" s="376"/>
      <c r="K47" s="376"/>
      <c r="L47" s="376"/>
      <c r="M47" s="376"/>
    </row>
    <row r="48" spans="2:13" ht="18" customHeight="1">
      <c r="B48" s="376"/>
      <c r="C48" s="376"/>
      <c r="D48" s="376"/>
      <c r="E48" s="376"/>
      <c r="F48" s="376"/>
      <c r="G48" s="376"/>
      <c r="H48" s="376"/>
      <c r="I48" s="376"/>
      <c r="J48" s="376"/>
      <c r="K48" s="376"/>
      <c r="L48" s="376"/>
      <c r="M48" s="376"/>
    </row>
  </sheetData>
  <sheetProtection/>
  <mergeCells count="15">
    <mergeCell ref="B46:M48"/>
    <mergeCell ref="B37:M39"/>
    <mergeCell ref="B43:M44"/>
    <mergeCell ref="A16:N16"/>
    <mergeCell ref="B20:M22"/>
    <mergeCell ref="B24:M25"/>
    <mergeCell ref="A18:N18"/>
    <mergeCell ref="B27:M29"/>
    <mergeCell ref="B41:M41"/>
    <mergeCell ref="B31:M32"/>
    <mergeCell ref="A3:N3"/>
    <mergeCell ref="A5:N5"/>
    <mergeCell ref="A9:N9"/>
    <mergeCell ref="B34:M35"/>
    <mergeCell ref="B11:N1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3" tint="-0.24997000396251678"/>
    <pageSetUpPr fitToPage="1"/>
  </sheetPr>
  <dimension ref="A1:CA101"/>
  <sheetViews>
    <sheetView zoomScale="80" zoomScaleNormal="80" zoomScalePageLayoutView="0" workbookViewId="0" topLeftCell="A1">
      <pane ySplit="4" topLeftCell="A5" activePane="bottomLeft" state="frozen"/>
      <selection pane="topLeft" activeCell="A1" sqref="A1"/>
      <selection pane="bottomLeft" activeCell="C2" sqref="C2:E2"/>
    </sheetView>
  </sheetViews>
  <sheetFormatPr defaultColWidth="9.140625" defaultRowHeight="12.75"/>
  <cols>
    <col min="1" max="1" width="9.7109375" style="1" customWidth="1"/>
    <col min="2" max="2" width="10.8515625" style="1" customWidth="1"/>
    <col min="3" max="5" width="9.140625" style="1" customWidth="1"/>
    <col min="6" max="6" width="10.8515625" style="3" customWidth="1"/>
    <col min="7" max="9" width="9.140625" style="1" customWidth="1"/>
    <col min="10" max="10" width="10.8515625" style="1" customWidth="1"/>
    <col min="11" max="12" width="9.140625" style="1" customWidth="1"/>
    <col min="13" max="13" width="9.7109375" style="1" customWidth="1"/>
    <col min="14" max="14" width="13.00390625" style="1" customWidth="1"/>
    <col min="15" max="15" width="15.7109375" style="1" customWidth="1"/>
    <col min="16" max="16" width="6.7109375" style="1" customWidth="1"/>
    <col min="17" max="17" width="7.28125" style="1" customWidth="1"/>
    <col min="18" max="18" width="6.28125" style="211" customWidth="1"/>
    <col min="19" max="22" width="6.8515625" style="210" hidden="1" customWidth="1"/>
    <col min="23" max="23" width="9.28125" style="1" customWidth="1"/>
    <col min="24" max="24" width="2.8515625" style="1" customWidth="1"/>
    <col min="25" max="25" width="45.7109375" style="1" customWidth="1"/>
    <col min="26" max="26" width="59.57421875" style="1" customWidth="1"/>
    <col min="27" max="27" width="12.7109375" style="1" customWidth="1"/>
    <col min="28" max="28" width="11.8515625" style="1" customWidth="1"/>
    <col min="29" max="29" width="5.7109375" style="1" customWidth="1"/>
    <col min="30" max="30" width="5.8515625" style="1" customWidth="1"/>
    <col min="31" max="32" width="9.57421875" style="36" hidden="1" customWidth="1"/>
    <col min="33" max="33" width="9.7109375" style="67" customWidth="1"/>
    <col min="34" max="35" width="7.00390625" style="36" hidden="1" customWidth="1"/>
    <col min="36" max="36" width="34.7109375" style="67" customWidth="1"/>
    <col min="37" max="38" width="9.140625" style="124" hidden="1" customWidth="1"/>
    <col min="39" max="39" width="9.140625" style="319" hidden="1" customWidth="1"/>
    <col min="40" max="40" width="9.140625" style="36" customWidth="1"/>
    <col min="41" max="52" width="9.140625" style="36" hidden="1" customWidth="1"/>
    <col min="53" max="53" width="10.00390625" style="36" hidden="1" customWidth="1"/>
    <col min="54" max="79" width="9.140625" style="36" hidden="1" customWidth="1"/>
    <col min="80" max="80" width="9.00390625" style="1" customWidth="1"/>
    <col min="81" max="16384" width="9.140625" style="1" customWidth="1"/>
  </cols>
  <sheetData>
    <row r="1" spans="1:79" ht="30" customHeight="1">
      <c r="A1" s="203" t="s">
        <v>73</v>
      </c>
      <c r="B1" s="203"/>
      <c r="C1" s="203"/>
      <c r="D1" s="203"/>
      <c r="E1" s="203"/>
      <c r="F1" s="203"/>
      <c r="G1" s="203"/>
      <c r="H1" s="203"/>
      <c r="I1" s="203"/>
      <c r="J1" s="203"/>
      <c r="K1" s="203"/>
      <c r="L1" s="203"/>
      <c r="M1" s="203"/>
      <c r="N1" s="203"/>
      <c r="O1" s="203"/>
      <c r="P1" s="203"/>
      <c r="Q1" s="203"/>
      <c r="R1" s="230"/>
      <c r="S1" s="311"/>
      <c r="T1" s="311"/>
      <c r="U1" s="311"/>
      <c r="V1" s="311"/>
      <c r="W1" s="203"/>
      <c r="X1" s="203"/>
      <c r="Y1" s="203"/>
      <c r="Z1" s="203"/>
      <c r="AD1" s="1" t="s">
        <v>160</v>
      </c>
      <c r="AE1" s="325" t="s">
        <v>152</v>
      </c>
      <c r="AF1" s="342"/>
      <c r="AG1" s="38" t="s">
        <v>2</v>
      </c>
      <c r="AH1" s="38" t="s">
        <v>154</v>
      </c>
      <c r="AI1" s="38" t="s">
        <v>4</v>
      </c>
      <c r="AJ1" s="191" t="s">
        <v>246</v>
      </c>
      <c r="AK1" s="248" t="s">
        <v>180</v>
      </c>
      <c r="AL1" s="248" t="s">
        <v>181</v>
      </c>
      <c r="AM1" s="321"/>
      <c r="AN1" s="191" t="s">
        <v>252</v>
      </c>
      <c r="AO1" s="353" t="s">
        <v>253</v>
      </c>
      <c r="BA1" s="334">
        <f>BQ11</f>
        <v>201309</v>
      </c>
      <c r="BB1" s="334">
        <f>BU11</f>
        <v>201401</v>
      </c>
      <c r="BC1" s="334">
        <f>BY11</f>
        <v>201405</v>
      </c>
      <c r="BD1" s="334">
        <f>BQ23</f>
        <v>201409</v>
      </c>
      <c r="BE1" s="334">
        <f>BU23</f>
        <v>201501</v>
      </c>
      <c r="BF1" s="334">
        <f>BY23</f>
        <v>201505</v>
      </c>
      <c r="BG1" s="334">
        <f>BQ35</f>
        <v>201509</v>
      </c>
      <c r="BH1" s="334">
        <f>BU35</f>
        <v>201601</v>
      </c>
      <c r="BI1" s="334">
        <f>BY35</f>
        <v>201605</v>
      </c>
      <c r="BJ1" s="334">
        <f>BQ47</f>
        <v>201609</v>
      </c>
      <c r="BK1" s="334">
        <f>BU47</f>
        <v>201701</v>
      </c>
      <c r="BL1" s="334">
        <f>BY47</f>
        <v>201705</v>
      </c>
      <c r="BM1" s="334">
        <f>BQ59</f>
        <v>201709</v>
      </c>
      <c r="BN1" s="334">
        <f>BU59</f>
        <v>201801</v>
      </c>
      <c r="BO1" s="334">
        <f>BY59</f>
        <v>201805</v>
      </c>
      <c r="BQ1" s="429" t="s">
        <v>178</v>
      </c>
      <c r="BR1" s="429"/>
      <c r="BS1" s="429"/>
      <c r="BT1" s="429"/>
      <c r="BU1" s="429"/>
      <c r="BV1" s="429"/>
      <c r="BW1" s="429"/>
      <c r="BX1" s="429"/>
      <c r="BY1" s="429"/>
      <c r="BZ1" s="429"/>
      <c r="CA1" s="429"/>
    </row>
    <row r="2" spans="1:79" ht="14.25" customHeight="1" thickBot="1">
      <c r="A2" s="192"/>
      <c r="B2" s="192" t="s">
        <v>0</v>
      </c>
      <c r="C2" s="437"/>
      <c r="D2" s="438"/>
      <c r="E2" s="439"/>
      <c r="G2" s="221" t="s">
        <v>268</v>
      </c>
      <c r="H2" s="260" t="s">
        <v>188</v>
      </c>
      <c r="O2" s="31"/>
      <c r="P2" s="41"/>
      <c r="Q2" s="4"/>
      <c r="R2" s="213"/>
      <c r="S2" s="299"/>
      <c r="T2" s="299"/>
      <c r="U2" s="299"/>
      <c r="V2" s="299"/>
      <c r="W2" s="200" t="s">
        <v>191</v>
      </c>
      <c r="X2" s="451" t="s">
        <v>190</v>
      </c>
      <c r="Y2" s="451"/>
      <c r="Z2" s="451"/>
      <c r="AD2" s="1">
        <v>2</v>
      </c>
      <c r="AE2" s="320">
        <f>IF(AND(AK2,AL2&gt;999999),10101,AL2)</f>
        <v>2000000</v>
      </c>
      <c r="AF2" s="336"/>
      <c r="AG2" s="38" t="str">
        <f>W6</f>
        <v>EH 101</v>
      </c>
      <c r="AH2" s="328">
        <f>X6</f>
        <v>3</v>
      </c>
      <c r="AI2" s="320">
        <f>Q6</f>
        <v>0</v>
      </c>
      <c r="AJ2" s="294">
        <f>IF(AE2&gt;999999,"",AG2)</f>
      </c>
      <c r="AK2" s="158" t="b">
        <f>IF(OR(LEFT(Q6,1)="T",S6/X6&gt;=2),TRUE,FALSE)</f>
        <v>0</v>
      </c>
      <c r="AL2" s="320">
        <f>IF(P6&gt;0,P6*100,1000000)+IF(LEFT(O6,2)="Sp",1,IF(LEFT(O6,2)="Su",IF(AND(LEN(O6&gt;8),MID(O6,8,1)="2"),6,5),IF(LEFT(O6,2)="Fa",9,1000000)))</f>
        <v>2000000</v>
      </c>
      <c r="AM2" s="322"/>
      <c r="AN2" s="108"/>
      <c r="AO2" s="37" t="b">
        <f>AND(AE2&gt;999999,AE69&lt;999999)</f>
        <v>0</v>
      </c>
      <c r="AP2" s="37" t="s">
        <v>102</v>
      </c>
      <c r="AQ2" s="37" t="s">
        <v>102</v>
      </c>
      <c r="AR2" s="37" t="s">
        <v>105</v>
      </c>
      <c r="AS2" s="37" t="s">
        <v>102</v>
      </c>
      <c r="AT2" s="37" t="s">
        <v>102</v>
      </c>
      <c r="AU2" s="37" t="s">
        <v>106</v>
      </c>
      <c r="AV2" s="37" t="s">
        <v>106</v>
      </c>
      <c r="AW2" s="37" t="s">
        <v>109</v>
      </c>
      <c r="AX2" s="37" t="s">
        <v>110</v>
      </c>
      <c r="AY2" s="37"/>
      <c r="AZ2" s="37"/>
      <c r="BA2" s="335">
        <f aca="true" ca="1" t="shared" si="0" ref="BA2:BA65">IF($AE2=BA$1,CELL("row",$AE2),"")</f>
      </c>
      <c r="BB2" s="335">
        <f aca="true" ca="1" t="shared" si="1" ref="BB2:BN10">IF($AE2=BB$1,CELL("row",$AE2),"")</f>
      </c>
      <c r="BC2" s="335">
        <f ca="1">IF(OR($AE2=BC$1,$AE2=BC$1+1),CELL("row",$AE2),"")</f>
      </c>
      <c r="BD2" s="335">
        <f ca="1" t="shared" si="1"/>
      </c>
      <c r="BE2" s="335">
        <f ca="1" t="shared" si="1"/>
      </c>
      <c r="BF2" s="335">
        <f ca="1">IF(OR($AE2=BF$1,$AE2=BF$1+1),CELL("row",$AE2),"")</f>
      </c>
      <c r="BG2" s="335">
        <f ca="1" t="shared" si="1"/>
      </c>
      <c r="BH2" s="335">
        <f ca="1" t="shared" si="1"/>
      </c>
      <c r="BI2" s="335">
        <f ca="1">IF(OR($AE2=BI$1,$AE2=BI$1+1),CELL("row",$AE2),"")</f>
      </c>
      <c r="BJ2" s="335">
        <f ca="1" t="shared" si="1"/>
      </c>
      <c r="BK2" s="335">
        <f ca="1" t="shared" si="1"/>
      </c>
      <c r="BL2" s="335">
        <f ca="1">IF(OR($AE2=BL$1,$AE2=BL$1+1),CELL("row",$AE2),"")</f>
      </c>
      <c r="BM2" s="335">
        <f ca="1" t="shared" si="1"/>
      </c>
      <c r="BN2" s="335">
        <f ca="1" t="shared" si="1"/>
      </c>
      <c r="BO2" s="335">
        <f ca="1">IF(OR($AE2=BO$1,$AE2=BO$1+1),CELL("row",$AE2),"")</f>
      </c>
      <c r="BQ2" s="429"/>
      <c r="BR2" s="429"/>
      <c r="BS2" s="429"/>
      <c r="BT2" s="429"/>
      <c r="BU2" s="429"/>
      <c r="BV2" s="429"/>
      <c r="BW2" s="429"/>
      <c r="BX2" s="429"/>
      <c r="BY2" s="429"/>
      <c r="BZ2" s="429"/>
      <c r="CA2" s="429"/>
    </row>
    <row r="3" spans="1:79" ht="14.25" customHeight="1" thickBot="1">
      <c r="A3" s="192"/>
      <c r="B3" s="192" t="s">
        <v>1</v>
      </c>
      <c r="C3" s="440"/>
      <c r="D3" s="441"/>
      <c r="E3" s="442"/>
      <c r="G3" s="204" t="s">
        <v>165</v>
      </c>
      <c r="H3" s="6" t="s">
        <v>72</v>
      </c>
      <c r="I3" s="3"/>
      <c r="M3" s="41"/>
      <c r="N3" s="41"/>
      <c r="O3" s="452" t="s">
        <v>133</v>
      </c>
      <c r="P3" s="409" t="s">
        <v>134</v>
      </c>
      <c r="Q3" s="448" t="s">
        <v>4</v>
      </c>
      <c r="R3" s="449" t="s">
        <v>170</v>
      </c>
      <c r="S3" s="433" t="s">
        <v>138</v>
      </c>
      <c r="T3" s="433" t="s">
        <v>139</v>
      </c>
      <c r="U3" s="433" t="s">
        <v>168</v>
      </c>
      <c r="V3" s="433" t="s">
        <v>169</v>
      </c>
      <c r="W3" s="32"/>
      <c r="X3" s="451"/>
      <c r="Y3" s="451"/>
      <c r="Z3" s="451"/>
      <c r="AD3" s="1">
        <v>3</v>
      </c>
      <c r="AE3" s="320">
        <f aca="true" t="shared" si="2" ref="AE3:AE67">IF(AND(AK3,AL3&gt;999999),10101,AL3)</f>
        <v>2000000</v>
      </c>
      <c r="AF3" s="336"/>
      <c r="AG3" s="38" t="str">
        <f>W7</f>
        <v>EH 102</v>
      </c>
      <c r="AH3" s="328">
        <f>X7</f>
        <v>3</v>
      </c>
      <c r="AI3" s="320">
        <f>Q7</f>
        <v>0</v>
      </c>
      <c r="AJ3" s="294">
        <f>IF(AN3="y",AG3,IF(AE3=10101,AG3,IF(AE3&gt;999999,"",IF(AE3&gt;10000,IF(AE3&lt;=AE2,"PREREQ ERROR_EH101",AG3),AG3))))</f>
      </c>
      <c r="AK3" s="158" t="b">
        <f>IF(OR(LEFT(Q7,1)="T",S7/X7&gt;=2),TRUE,FALSE)</f>
        <v>0</v>
      </c>
      <c r="AL3" s="320">
        <f>IF(P7&gt;0,P7*100,1000000)+IF(LEFT(O7,2)="Sp",1,IF(LEFT(O7,2)="Su",IF(AND(LEN(O7&gt;8),MID(O7,8,1)="2"),6,5),IF(LEFT(O7,2)="Fa",9,1000000)))</f>
        <v>2000000</v>
      </c>
      <c r="AM3" s="322"/>
      <c r="AN3" s="108"/>
      <c r="AO3" s="37" t="b">
        <f>AND(AE3&gt;999999,AE69&lt;999999)</f>
        <v>0</v>
      </c>
      <c r="AP3" s="37" t="s">
        <v>105</v>
      </c>
      <c r="AQ3" s="37" t="s">
        <v>101</v>
      </c>
      <c r="AR3" s="37" t="s">
        <v>101</v>
      </c>
      <c r="AS3" s="37" t="s">
        <v>105</v>
      </c>
      <c r="AT3" s="37" t="s">
        <v>105</v>
      </c>
      <c r="AU3" s="37" t="s">
        <v>103</v>
      </c>
      <c r="AV3" s="37" t="s">
        <v>103</v>
      </c>
      <c r="AW3" s="37" t="s">
        <v>111</v>
      </c>
      <c r="AX3" s="37" t="s">
        <v>112</v>
      </c>
      <c r="AY3" s="37"/>
      <c r="AZ3" s="37"/>
      <c r="BA3" s="336">
        <f ca="1" t="shared" si="0"/>
      </c>
      <c r="BB3" s="336">
        <f ca="1" t="shared" si="1"/>
      </c>
      <c r="BC3" s="336">
        <f aca="true" ca="1" t="shared" si="3" ref="BC3:BC14">IF(OR($AE3=BC$1,$AE3=BC$1+1),CELL("row",$AE3),"")</f>
      </c>
      <c r="BD3" s="336">
        <f ca="1" t="shared" si="1"/>
      </c>
      <c r="BE3" s="336">
        <f ca="1" t="shared" si="1"/>
      </c>
      <c r="BF3" s="336">
        <f aca="true" ca="1" t="shared" si="4" ref="BF3:BF14">IF(OR($AE3=BF$1,$AE3=BF$1+1),CELL("row",$AE3),"")</f>
      </c>
      <c r="BG3" s="336">
        <f ca="1" t="shared" si="1"/>
      </c>
      <c r="BH3" s="336">
        <f ca="1" t="shared" si="1"/>
      </c>
      <c r="BI3" s="336">
        <f aca="true" ca="1" t="shared" si="5" ref="BI3:BI14">IF(OR($AE3=BI$1,$AE3=BI$1+1),CELL("row",$AE3),"")</f>
      </c>
      <c r="BJ3" s="336">
        <f ca="1" t="shared" si="1"/>
      </c>
      <c r="BK3" s="336">
        <f ca="1" t="shared" si="1"/>
      </c>
      <c r="BL3" s="336">
        <f aca="true" ca="1" t="shared" si="6" ref="BL3:BL14">IF(OR($AE3=BL$1,$AE3=BL$1+1),CELL("row",$AE3),"")</f>
      </c>
      <c r="BM3" s="336">
        <f ca="1" t="shared" si="1"/>
      </c>
      <c r="BN3" s="336">
        <f ca="1" t="shared" si="1"/>
      </c>
      <c r="BO3" s="336">
        <f aca="true" ca="1" t="shared" si="7" ref="BO3:BO14">IF(OR($AE3=BO$1,$AE3=BO$1+1),CELL("row",$AE3),"")</f>
      </c>
      <c r="BQ3" s="429"/>
      <c r="BR3" s="429"/>
      <c r="BS3" s="429"/>
      <c r="BT3" s="429"/>
      <c r="BU3" s="429"/>
      <c r="BV3" s="429"/>
      <c r="BW3" s="429"/>
      <c r="BX3" s="429"/>
      <c r="BY3" s="429"/>
      <c r="BZ3" s="429"/>
      <c r="CA3" s="429"/>
    </row>
    <row r="4" spans="1:79" ht="13.5" customHeight="1" thickBot="1">
      <c r="A4" s="213"/>
      <c r="B4" s="214"/>
      <c r="C4" s="443" t="s">
        <v>245</v>
      </c>
      <c r="D4" s="443"/>
      <c r="E4" s="443"/>
      <c r="F4" s="42">
        <f>COUNTIF(AJ2:AJ76,"=*error*")</f>
        <v>0</v>
      </c>
      <c r="G4" s="219" t="s">
        <v>164</v>
      </c>
      <c r="H4" s="212" t="s">
        <v>71</v>
      </c>
      <c r="I4" s="211"/>
      <c r="J4" s="211"/>
      <c r="K4" s="211"/>
      <c r="L4" s="211"/>
      <c r="M4" s="215"/>
      <c r="N4" s="215"/>
      <c r="O4" s="452"/>
      <c r="P4" s="410"/>
      <c r="Q4" s="448"/>
      <c r="R4" s="450"/>
      <c r="S4" s="434"/>
      <c r="T4" s="434"/>
      <c r="U4" s="434"/>
      <c r="V4" s="434"/>
      <c r="W4" s="33"/>
      <c r="X4" s="411" t="s">
        <v>56</v>
      </c>
      <c r="Y4" s="411"/>
      <c r="Z4" s="411"/>
      <c r="AD4" s="1">
        <v>4</v>
      </c>
      <c r="AE4" s="320">
        <f t="shared" si="2"/>
        <v>2000000</v>
      </c>
      <c r="AF4" s="336"/>
      <c r="AG4" s="38" t="str">
        <f aca="true" t="shared" si="8" ref="AG4:AH8">W9</f>
        <v>MA 171</v>
      </c>
      <c r="AH4" s="329">
        <f t="shared" si="8"/>
        <v>4</v>
      </c>
      <c r="AI4" s="330">
        <f>Q9</f>
        <v>0</v>
      </c>
      <c r="AJ4" s="294">
        <f>IF(AN4="y",AG4,IF(AE4=10101,AG4,IF(AE4&gt;999999,"",IF(OR(AND(AE4&lt;=AE59,AE59&lt;999999),AND(AE4&lt;=AE60,AE60&lt;999999)),"PREREQ ERROR_MA 113 or 115",AG4))))</f>
      </c>
      <c r="AK4" s="295" t="b">
        <f>IF(OR(LEFT(Q9,1)="T",S9/X9&gt;=2),TRUE,FALSE)</f>
        <v>0</v>
      </c>
      <c r="AL4" s="330">
        <f>IF(P9&gt;0,P9*100,1000000)+IF(LEFT(O9,2)="Sp",1,IF(LEFT(O9,2)="Su",IF(AND(LEN(O9&gt;8),MID(O9,8,1)="2"),6,5),IF(LEFT(O9,2)="Fa",9,1000000)))</f>
        <v>2000000</v>
      </c>
      <c r="AM4" s="322"/>
      <c r="AN4" s="108"/>
      <c r="AO4" s="37"/>
      <c r="AS4" s="37" t="s">
        <v>101</v>
      </c>
      <c r="AT4" s="37" t="s">
        <v>131</v>
      </c>
      <c r="AU4" s="37" t="s">
        <v>107</v>
      </c>
      <c r="AV4" s="37" t="s">
        <v>107</v>
      </c>
      <c r="AW4" s="68"/>
      <c r="AX4" s="67"/>
      <c r="AY4" s="37"/>
      <c r="AZ4" s="37"/>
      <c r="BA4" s="336">
        <f ca="1" t="shared" si="0"/>
      </c>
      <c r="BB4" s="336">
        <f ca="1" t="shared" si="1"/>
      </c>
      <c r="BC4" s="336">
        <f ca="1" t="shared" si="3"/>
      </c>
      <c r="BD4" s="336">
        <f ca="1" t="shared" si="1"/>
      </c>
      <c r="BE4" s="336">
        <f ca="1" t="shared" si="1"/>
      </c>
      <c r="BF4" s="336">
        <f ca="1" t="shared" si="4"/>
      </c>
      <c r="BG4" s="336">
        <f ca="1" t="shared" si="1"/>
      </c>
      <c r="BH4" s="336">
        <f ca="1" t="shared" si="1"/>
      </c>
      <c r="BI4" s="336">
        <f ca="1" t="shared" si="5"/>
      </c>
      <c r="BJ4" s="336">
        <f ca="1" t="shared" si="1"/>
      </c>
      <c r="BK4" s="336">
        <f ca="1" t="shared" si="1"/>
      </c>
      <c r="BL4" s="336">
        <f ca="1" t="shared" si="6"/>
      </c>
      <c r="BM4" s="336">
        <f ca="1" t="shared" si="1"/>
      </c>
      <c r="BN4" s="336">
        <f ca="1" t="shared" si="1"/>
      </c>
      <c r="BO4" s="336">
        <f ca="1" t="shared" si="7"/>
      </c>
      <c r="BQ4" s="429"/>
      <c r="BR4" s="429"/>
      <c r="BS4" s="429"/>
      <c r="BT4" s="429"/>
      <c r="BU4" s="429"/>
      <c r="BV4" s="429"/>
      <c r="BW4" s="429"/>
      <c r="BX4" s="429"/>
      <c r="BY4" s="429"/>
      <c r="BZ4" s="429"/>
      <c r="CA4" s="429"/>
    </row>
    <row r="5" spans="1:79" ht="13.5" customHeight="1" thickBot="1">
      <c r="A5" s="435" t="s">
        <v>136</v>
      </c>
      <c r="B5" s="435"/>
      <c r="C5" s="436"/>
      <c r="D5" s="208" t="s">
        <v>102</v>
      </c>
      <c r="E5" s="208">
        <v>2014</v>
      </c>
      <c r="F5" s="42"/>
      <c r="G5" s="42" t="str">
        <f>D5&amp;" "&amp;E5</f>
        <v>Spring 2014</v>
      </c>
      <c r="H5" s="40"/>
      <c r="O5" s="303" t="s">
        <v>5</v>
      </c>
      <c r="P5" s="141"/>
      <c r="Q5" s="141"/>
      <c r="R5" s="141"/>
      <c r="S5" s="304"/>
      <c r="T5" s="304"/>
      <c r="U5" s="304"/>
      <c r="V5" s="304"/>
      <c r="W5" s="141"/>
      <c r="X5" s="141"/>
      <c r="Y5" s="142"/>
      <c r="Z5" s="217" t="s">
        <v>55</v>
      </c>
      <c r="AD5" s="1">
        <v>5</v>
      </c>
      <c r="AE5" s="320">
        <f t="shared" si="2"/>
        <v>2000000</v>
      </c>
      <c r="AF5" s="336"/>
      <c r="AG5" s="38" t="str">
        <f t="shared" si="8"/>
        <v>MA 172</v>
      </c>
      <c r="AH5" s="328">
        <f t="shared" si="8"/>
        <v>4</v>
      </c>
      <c r="AI5" s="320">
        <f>Q10</f>
        <v>0</v>
      </c>
      <c r="AJ5" s="294">
        <f>IF(AN5="y",AG5,IF(AE5=10101,AG5,IF(AE5&gt;999999,"",IF(AE5&lt;=AE4,"PREREQ ERROR_MA 171",AG5))))</f>
      </c>
      <c r="AK5" s="158" t="b">
        <f>IF(OR(LEFT(Q10,1)="T",S10/X10&gt;=2),TRUE,FALSE)</f>
        <v>0</v>
      </c>
      <c r="AL5" s="39">
        <f>IF(P10&gt;0,P10*100,1000000)+IF(LEFT(O10,2)="Sp",1,IF(LEFT(O10,2)="Su",IF(AND(LEN(O10&gt;8),MID(O10,8,1)="2"),6,5),IF(LEFT(O10,2)="Fa",9,1000000)))</f>
        <v>2000000</v>
      </c>
      <c r="AM5" s="322"/>
      <c r="AN5" s="108"/>
      <c r="AO5" s="37"/>
      <c r="AP5" s="67"/>
      <c r="AQ5" s="67"/>
      <c r="AR5" s="67"/>
      <c r="AS5" s="67"/>
      <c r="AT5" s="68" t="s">
        <v>132</v>
      </c>
      <c r="AU5" s="37" t="s">
        <v>141</v>
      </c>
      <c r="AV5" s="67" t="s">
        <v>104</v>
      </c>
      <c r="AW5" s="68" t="s">
        <v>113</v>
      </c>
      <c r="AX5" s="67"/>
      <c r="AY5" s="68"/>
      <c r="AZ5" s="67"/>
      <c r="BA5" s="336">
        <f ca="1" t="shared" si="0"/>
      </c>
      <c r="BB5" s="336">
        <f ca="1" t="shared" si="1"/>
      </c>
      <c r="BC5" s="336">
        <f ca="1" t="shared" si="3"/>
      </c>
      <c r="BD5" s="336">
        <f ca="1" t="shared" si="1"/>
      </c>
      <c r="BE5" s="336">
        <f ca="1" t="shared" si="1"/>
      </c>
      <c r="BF5" s="336">
        <f ca="1" t="shared" si="4"/>
      </c>
      <c r="BG5" s="336">
        <f ca="1" t="shared" si="1"/>
      </c>
      <c r="BH5" s="336">
        <f ca="1" t="shared" si="1"/>
      </c>
      <c r="BI5" s="336">
        <f ca="1" t="shared" si="5"/>
      </c>
      <c r="BJ5" s="336">
        <f ca="1" t="shared" si="1"/>
      </c>
      <c r="BK5" s="336">
        <f ca="1" t="shared" si="1"/>
      </c>
      <c r="BL5" s="336">
        <f ca="1" t="shared" si="6"/>
      </c>
      <c r="BM5" s="336">
        <f ca="1" t="shared" si="1"/>
      </c>
      <c r="BN5" s="336">
        <f ca="1" t="shared" si="1"/>
      </c>
      <c r="BO5" s="336">
        <f ca="1" t="shared" si="7"/>
      </c>
      <c r="BQ5" s="429"/>
      <c r="BR5" s="429"/>
      <c r="BS5" s="429"/>
      <c r="BT5" s="429"/>
      <c r="BU5" s="429"/>
      <c r="BV5" s="429"/>
      <c r="BW5" s="429"/>
      <c r="BX5" s="429"/>
      <c r="BY5" s="429"/>
      <c r="BZ5" s="429"/>
      <c r="CA5" s="429"/>
    </row>
    <row r="6" spans="1:67" ht="13.5" customHeight="1">
      <c r="A6" s="210"/>
      <c r="B6" s="225"/>
      <c r="C6" s="226"/>
      <c r="D6" s="227"/>
      <c r="E6" s="227"/>
      <c r="F6" s="227"/>
      <c r="G6" s="42"/>
      <c r="H6" s="211"/>
      <c r="I6" s="211"/>
      <c r="J6" s="211"/>
      <c r="K6" s="211"/>
      <c r="L6" s="211"/>
      <c r="M6" s="211"/>
      <c r="N6" s="211"/>
      <c r="O6" s="84"/>
      <c r="P6" s="94"/>
      <c r="Q6" s="95"/>
      <c r="R6" s="236" t="s">
        <v>171</v>
      </c>
      <c r="S6" s="236">
        <f>IF(LEFT(Q6,1)="a",4,IF(LEFT(Q6,1)="b",3,IF(LEFT(Q6,1)="c",2,IF(LEFT(Q6,1)="d",1,0))))*X6</f>
        <v>0</v>
      </c>
      <c r="T6" s="236">
        <f>IF(OR(S6&gt;0,LEFT(Q6,1)="f"),X6,"")</f>
      </c>
      <c r="U6" s="236">
        <f>IF(R6="Y",S6,"")</f>
      </c>
      <c r="V6" s="236">
        <f>IF(AND(R6="Y",T6&gt;0),T6,"")</f>
      </c>
      <c r="W6" s="47" t="s">
        <v>88</v>
      </c>
      <c r="X6" s="48">
        <v>3</v>
      </c>
      <c r="Y6" s="49" t="s">
        <v>6</v>
      </c>
      <c r="Z6" s="16" t="s">
        <v>7</v>
      </c>
      <c r="AD6" s="1">
        <v>6</v>
      </c>
      <c r="AE6" s="320">
        <f t="shared" si="2"/>
        <v>2000000</v>
      </c>
      <c r="AF6" s="336"/>
      <c r="AG6" s="38" t="str">
        <f t="shared" si="8"/>
        <v>MA 201</v>
      </c>
      <c r="AH6" s="328">
        <f t="shared" si="8"/>
        <v>4</v>
      </c>
      <c r="AI6" s="320">
        <f>Q11</f>
        <v>0</v>
      </c>
      <c r="AJ6" s="294">
        <f>IF(AN6="y",AG6,IF(AE6=10101,AG6,IF(AE6&gt;999999,"",IF(AE6&lt;=AE5,"PREREQ ERROR_MA 172",AG6))))</f>
      </c>
      <c r="AK6" s="158" t="b">
        <f>IF(OR(LEFT(Q11,1)="T",S11/X11&gt;=2),TRUE,FALSE)</f>
        <v>0</v>
      </c>
      <c r="AL6" s="39">
        <f>IF(P11&gt;0,P11*100,1000000)+IF(LEFT(O11,2)="Sp",1,IF(LEFT(O11,2)="Su",IF(AND(LEN(O11&gt;8),MID(O11,8,1)="2"),6,5),IF(LEFT(O11,2)="Fa",9,1000000)))</f>
        <v>2000000</v>
      </c>
      <c r="AM6" s="322"/>
      <c r="AN6" s="108"/>
      <c r="AO6" s="37"/>
      <c r="AP6" s="67"/>
      <c r="AQ6" s="67"/>
      <c r="AR6" s="354"/>
      <c r="AS6" s="67"/>
      <c r="AT6" s="68" t="s">
        <v>101</v>
      </c>
      <c r="AU6" s="37" t="s">
        <v>140</v>
      </c>
      <c r="AV6" s="68" t="s">
        <v>209</v>
      </c>
      <c r="AW6" s="37" t="s">
        <v>247</v>
      </c>
      <c r="AY6" s="68"/>
      <c r="AZ6" s="67"/>
      <c r="BA6" s="336">
        <f ca="1" t="shared" si="0"/>
      </c>
      <c r="BB6" s="336">
        <f ca="1" t="shared" si="1"/>
      </c>
      <c r="BC6" s="336">
        <f ca="1" t="shared" si="3"/>
      </c>
      <c r="BD6" s="336">
        <f ca="1" t="shared" si="1"/>
      </c>
      <c r="BE6" s="336">
        <f ca="1" t="shared" si="1"/>
      </c>
      <c r="BF6" s="336">
        <f ca="1" t="shared" si="4"/>
      </c>
      <c r="BG6" s="336">
        <f ca="1" t="shared" si="1"/>
      </c>
      <c r="BH6" s="336">
        <f ca="1" t="shared" si="1"/>
      </c>
      <c r="BI6" s="336">
        <f ca="1" t="shared" si="5"/>
      </c>
      <c r="BJ6" s="336">
        <f ca="1" t="shared" si="1"/>
      </c>
      <c r="BK6" s="336">
        <f ca="1" t="shared" si="1"/>
      </c>
      <c r="BL6" s="336">
        <f ca="1" t="shared" si="6"/>
      </c>
      <c r="BM6" s="336">
        <f ca="1" t="shared" si="1"/>
      </c>
      <c r="BN6" s="336">
        <f ca="1" t="shared" si="1"/>
      </c>
      <c r="BO6" s="336">
        <f ca="1" t="shared" si="7"/>
      </c>
    </row>
    <row r="7" spans="1:67" ht="17.25" customHeight="1" thickBot="1">
      <c r="A7" s="40"/>
      <c r="B7" s="199" t="s">
        <v>269</v>
      </c>
      <c r="C7" s="199"/>
      <c r="D7" s="199"/>
      <c r="E7" s="199"/>
      <c r="F7" s="199"/>
      <c r="G7" s="199"/>
      <c r="H7" s="199"/>
      <c r="I7" s="199"/>
      <c r="J7" s="199"/>
      <c r="K7" s="199"/>
      <c r="L7" s="199"/>
      <c r="N7" s="3"/>
      <c r="O7" s="79"/>
      <c r="P7" s="80"/>
      <c r="Q7" s="96"/>
      <c r="R7" s="237" t="s">
        <v>171</v>
      </c>
      <c r="S7" s="237">
        <f>IF(LEFT(Q7,1)="a",4,IF(LEFT(Q7,1)="b",3,IF(LEFT(Q7,1)="c",2,IF(LEFT(Q7,1)="d",1,0))))*X7</f>
        <v>0</v>
      </c>
      <c r="T7" s="237">
        <f>IF(OR(S7&gt;0,LEFT(Q7,1)="f"),X7,"")</f>
      </c>
      <c r="U7" s="237">
        <f aca="true" t="shared" si="9" ref="U7:U21">IF(R7="Y",S7,"")</f>
      </c>
      <c r="V7" s="237">
        <f aca="true" t="shared" si="10" ref="V7:V21">IF(AND(R7="Y",T7&gt;0),T7,"")</f>
      </c>
      <c r="W7" s="50" t="s">
        <v>89</v>
      </c>
      <c r="X7" s="8">
        <v>3</v>
      </c>
      <c r="Y7" s="29" t="s">
        <v>8</v>
      </c>
      <c r="Z7" s="17" t="s">
        <v>88</v>
      </c>
      <c r="AD7" s="1">
        <v>7</v>
      </c>
      <c r="AE7" s="320">
        <f t="shared" si="2"/>
        <v>2000000</v>
      </c>
      <c r="AF7" s="336"/>
      <c r="AG7" s="38" t="str">
        <f t="shared" si="8"/>
        <v>MA 238</v>
      </c>
      <c r="AH7" s="328">
        <f t="shared" si="8"/>
        <v>3</v>
      </c>
      <c r="AI7" s="320">
        <f>Q12</f>
        <v>0</v>
      </c>
      <c r="AJ7" s="294">
        <f>IF(AN7="y",AG7,IF(AE7=10101,AG7,IF(AE7&gt;999999,"",IF(AE7&lt;AE6,"PREREQ w/Con ERROR_MA 201",AG7))))</f>
      </c>
      <c r="AK7" s="158" t="b">
        <f>IF(OR(LEFT(Q12,1)="T",S12/X12&gt;=2),TRUE,FALSE)</f>
        <v>0</v>
      </c>
      <c r="AL7" s="39">
        <f>IF(P12&gt;0,P12*100,1000000)+IF(LEFT(O12,2)="Sp",1,IF(LEFT(O12,2)="Su",IF(AND(LEN(O12&gt;8),MID(O12,8,1)="2"),6,5),IF(LEFT(O12,2)="Fa",9,1000000)))</f>
        <v>2000000</v>
      </c>
      <c r="AM7" s="322"/>
      <c r="AN7" s="108"/>
      <c r="AO7" s="37"/>
      <c r="AU7" s="37" t="s">
        <v>142</v>
      </c>
      <c r="AV7" s="68" t="s">
        <v>261</v>
      </c>
      <c r="AY7" s="37"/>
      <c r="BA7" s="336">
        <f ca="1" t="shared" si="0"/>
      </c>
      <c r="BB7" s="336">
        <f ca="1" t="shared" si="1"/>
      </c>
      <c r="BC7" s="336">
        <f ca="1" t="shared" si="3"/>
      </c>
      <c r="BD7" s="336">
        <f ca="1" t="shared" si="1"/>
      </c>
      <c r="BE7" s="336">
        <f ca="1" t="shared" si="1"/>
      </c>
      <c r="BF7" s="336">
        <f ca="1" t="shared" si="4"/>
      </c>
      <c r="BG7" s="336">
        <f ca="1" t="shared" si="1"/>
      </c>
      <c r="BH7" s="336">
        <f ca="1" t="shared" si="1"/>
      </c>
      <c r="BI7" s="336">
        <f ca="1" t="shared" si="5"/>
      </c>
      <c r="BJ7" s="336">
        <f ca="1" t="shared" si="1"/>
      </c>
      <c r="BK7" s="336">
        <f ca="1" t="shared" si="1"/>
      </c>
      <c r="BL7" s="336">
        <f ca="1" t="shared" si="6"/>
      </c>
      <c r="BM7" s="336">
        <f ca="1" t="shared" si="1"/>
      </c>
      <c r="BN7" s="336">
        <f ca="1" t="shared" si="1"/>
      </c>
      <c r="BO7" s="336">
        <f ca="1" t="shared" si="7"/>
      </c>
    </row>
    <row r="8" spans="15:77" ht="13.5" customHeight="1" thickBot="1">
      <c r="O8" s="143" t="s">
        <v>242</v>
      </c>
      <c r="P8" s="144"/>
      <c r="Q8" s="144"/>
      <c r="R8" s="144"/>
      <c r="S8" s="305"/>
      <c r="T8" s="305"/>
      <c r="U8" s="305"/>
      <c r="V8" s="305"/>
      <c r="W8" s="144"/>
      <c r="X8" s="144"/>
      <c r="Y8" s="145"/>
      <c r="Z8" s="220" t="s">
        <v>55</v>
      </c>
      <c r="AD8" s="1">
        <v>8</v>
      </c>
      <c r="AE8" s="320">
        <f t="shared" si="2"/>
        <v>2000000</v>
      </c>
      <c r="AF8" s="336"/>
      <c r="AG8" s="38" t="str">
        <f t="shared" si="8"/>
        <v>MA 244</v>
      </c>
      <c r="AH8" s="328">
        <f t="shared" si="8"/>
        <v>3</v>
      </c>
      <c r="AI8" s="320">
        <f>Q13</f>
        <v>0</v>
      </c>
      <c r="AJ8" s="294">
        <f>IF(AN8="y",AG8,IF(AE8=10101,AG8,IF(AE8&gt;999999,"",IF(AE8&lt;=AE5,"PREREQ ERROR_MA 172",AG8))))</f>
      </c>
      <c r="AK8" s="158" t="b">
        <f>IF(OR(LEFT(Q13,1)="T",S13/X13&gt;=2),TRUE,FALSE)</f>
        <v>0</v>
      </c>
      <c r="AL8" s="39">
        <f>IF(P13&gt;0,P13*100,1000000)+IF(LEFT(O13,2)="Sp",1,IF(LEFT(O13,2)="Su",IF(AND(LEN(O13&gt;8),MID(O13,8,1)="2"),6,5),IF(LEFT(O13,2)="Fa",9,1000000)))</f>
        <v>2000000</v>
      </c>
      <c r="AM8" s="322"/>
      <c r="AN8" s="108"/>
      <c r="AO8" s="45" t="b">
        <f>AND(AE8&gt;999999,AE28&lt;999999)</f>
        <v>0</v>
      </c>
      <c r="AP8" s="37" t="s">
        <v>102</v>
      </c>
      <c r="AU8" s="37" t="s">
        <v>143</v>
      </c>
      <c r="AV8" s="37" t="s">
        <v>141</v>
      </c>
      <c r="AW8" s="37" t="s">
        <v>36</v>
      </c>
      <c r="AY8" s="37"/>
      <c r="BA8" s="336">
        <f ca="1" t="shared" si="0"/>
      </c>
      <c r="BB8" s="336">
        <f ca="1" t="shared" si="1"/>
      </c>
      <c r="BC8" s="336">
        <f ca="1" t="shared" si="3"/>
      </c>
      <c r="BD8" s="336">
        <f ca="1" t="shared" si="1"/>
      </c>
      <c r="BE8" s="336">
        <f ca="1" t="shared" si="1"/>
      </c>
      <c r="BF8" s="336">
        <f ca="1" t="shared" si="4"/>
      </c>
      <c r="BG8" s="336">
        <f ca="1" t="shared" si="1"/>
      </c>
      <c r="BH8" s="336">
        <f ca="1" t="shared" si="1"/>
      </c>
      <c r="BI8" s="336">
        <f ca="1" t="shared" si="5"/>
      </c>
      <c r="BJ8" s="336">
        <f ca="1" t="shared" si="1"/>
      </c>
      <c r="BK8" s="336">
        <f ca="1" t="shared" si="1"/>
      </c>
      <c r="BL8" s="336">
        <f ca="1" t="shared" si="6"/>
      </c>
      <c r="BM8" s="336">
        <f ca="1" t="shared" si="1"/>
      </c>
      <c r="BN8" s="336">
        <f ca="1" t="shared" si="1"/>
      </c>
      <c r="BO8" s="336">
        <f ca="1" t="shared" si="7"/>
      </c>
      <c r="BQ8" s="319"/>
      <c r="BS8" s="319"/>
      <c r="BT8" s="319"/>
      <c r="BU8" s="319"/>
      <c r="BV8" s="319"/>
      <c r="BW8" s="319"/>
      <c r="BX8" s="319"/>
      <c r="BY8" s="319"/>
    </row>
    <row r="9" spans="1:77" ht="13.5" customHeight="1">
      <c r="A9" s="192"/>
      <c r="B9" s="192" t="s">
        <v>120</v>
      </c>
      <c r="C9" s="201" t="s">
        <v>162</v>
      </c>
      <c r="D9" s="202"/>
      <c r="E9" s="202"/>
      <c r="F9" s="202"/>
      <c r="G9" s="202"/>
      <c r="O9" s="84"/>
      <c r="P9" s="85"/>
      <c r="Q9" s="95"/>
      <c r="R9" s="236" t="s">
        <v>171</v>
      </c>
      <c r="S9" s="236">
        <f>IF(LEFT(Q9,1)="a",4,IF(LEFT(Q9,1)="b",3,IF(LEFT(Q9,1)="c",2,IF(LEFT(Q9,1)="d",1,0))))*X9</f>
        <v>0</v>
      </c>
      <c r="T9" s="236">
        <f aca="true" t="shared" si="11" ref="T9:T21">IF(OR(S9&gt;0,LEFT(Q9,1)="f"),X9,"")</f>
      </c>
      <c r="U9" s="236">
        <f t="shared" si="9"/>
      </c>
      <c r="V9" s="236">
        <f t="shared" si="10"/>
      </c>
      <c r="W9" s="47" t="s">
        <v>90</v>
      </c>
      <c r="X9" s="48">
        <v>4</v>
      </c>
      <c r="Y9" s="49" t="s">
        <v>9</v>
      </c>
      <c r="Z9" s="16" t="s">
        <v>284</v>
      </c>
      <c r="AD9" s="1">
        <v>9</v>
      </c>
      <c r="AE9" s="320">
        <f t="shared" si="2"/>
        <v>2000000</v>
      </c>
      <c r="AF9" s="336"/>
      <c r="AG9" s="38" t="str">
        <f>W15</f>
        <v>CH 121</v>
      </c>
      <c r="AH9" s="329">
        <f>X15</f>
        <v>3</v>
      </c>
      <c r="AI9" s="330">
        <f>Q15</f>
        <v>0</v>
      </c>
      <c r="AJ9" s="294">
        <f>IF(AN9="y",AG9,IF(AE9=10101,AG9,IF(AE9&gt;999999,"",IF(AE9&lt;AE4,"PREREQ w/Con ERROR_MA 171",IF(AND(AE9&lt;=AE61,AE61&lt;999999),"PREREQ ERROR_CH 101",IF(OR(AND(AE4&lt;=AE59,AE59&lt;999999),AND(AE4&lt;=AE60,AE60&lt;999999)),"PREREQ ERROR_MA 113 or 115",IF(AE9&lt;&gt;AE10,"COREQ ERROR_CH 125",AG9)))))))</f>
      </c>
      <c r="AK9" s="295" t="b">
        <f>IF(OR(LEFT(Q15,1)="T",S15/X15&gt;=2),TRUE,FALSE)</f>
        <v>0</v>
      </c>
      <c r="AL9" s="330">
        <f>IF(P15&gt;0,P15*100,1000000)+IF(LEFT(O15,2)="Sp",1,IF(LEFT(O15,2)="Su",IF(AND(LEN(O15&gt;8),MID(O15,8,1)="2"),6,5),IF(LEFT(O15,2)="Fa",9,1000000)))</f>
        <v>2000000</v>
      </c>
      <c r="AM9" s="322"/>
      <c r="AN9" s="108"/>
      <c r="AO9" s="37"/>
      <c r="AV9" s="37" t="s">
        <v>140</v>
      </c>
      <c r="AW9" s="37" t="s">
        <v>248</v>
      </c>
      <c r="AY9" s="37"/>
      <c r="BA9" s="336">
        <f ca="1" t="shared" si="0"/>
      </c>
      <c r="BB9" s="336">
        <f ca="1" t="shared" si="1"/>
      </c>
      <c r="BC9" s="336">
        <f ca="1" t="shared" si="3"/>
      </c>
      <c r="BD9" s="336">
        <f ca="1" t="shared" si="1"/>
      </c>
      <c r="BE9" s="336">
        <f ca="1" t="shared" si="1"/>
      </c>
      <c r="BF9" s="336">
        <f ca="1" t="shared" si="4"/>
      </c>
      <c r="BG9" s="336">
        <f ca="1" t="shared" si="1"/>
      </c>
      <c r="BH9" s="336">
        <f ca="1" t="shared" si="1"/>
      </c>
      <c r="BI9" s="336">
        <f ca="1" t="shared" si="5"/>
      </c>
      <c r="BJ9" s="336">
        <f ca="1" t="shared" si="1"/>
      </c>
      <c r="BK9" s="336">
        <f ca="1" t="shared" si="1"/>
      </c>
      <c r="BL9" s="336">
        <f ca="1" t="shared" si="6"/>
      </c>
      <c r="BM9" s="336">
        <f ca="1" t="shared" si="1"/>
      </c>
      <c r="BN9" s="336">
        <f ca="1" t="shared" si="1"/>
      </c>
      <c r="BO9" s="336">
        <f ca="1" t="shared" si="7"/>
      </c>
      <c r="BQ9" s="319"/>
      <c r="BS9" s="319"/>
      <c r="BT9" s="319"/>
      <c r="BU9" s="319"/>
      <c r="BV9" s="319"/>
      <c r="BW9" s="319"/>
      <c r="BX9" s="319"/>
      <c r="BY9" s="319"/>
    </row>
    <row r="10" spans="15:67" ht="13.5" customHeight="1" thickBot="1">
      <c r="O10" s="69"/>
      <c r="P10" s="78"/>
      <c r="Q10" s="97"/>
      <c r="R10" s="238" t="s">
        <v>171</v>
      </c>
      <c r="S10" s="238">
        <f>IF(LEFT(Q10,1)="a",4,IF(LEFT(Q10,1)="b",3,IF(LEFT(Q10,1)="c",2,IF(LEFT(Q10,1)="d",1,0))))*X10</f>
        <v>0</v>
      </c>
      <c r="T10" s="238">
        <f t="shared" si="11"/>
      </c>
      <c r="U10" s="238">
        <f t="shared" si="9"/>
      </c>
      <c r="V10" s="238">
        <f t="shared" si="10"/>
      </c>
      <c r="W10" s="51" t="s">
        <v>91</v>
      </c>
      <c r="X10" s="7">
        <v>4</v>
      </c>
      <c r="Y10" s="9" t="s">
        <v>10</v>
      </c>
      <c r="Z10" s="16" t="s">
        <v>90</v>
      </c>
      <c r="AD10" s="1">
        <v>10</v>
      </c>
      <c r="AE10" s="320">
        <f t="shared" si="2"/>
        <v>2000000</v>
      </c>
      <c r="AF10" s="336"/>
      <c r="AG10" s="38" t="str">
        <f>W16</f>
        <v>CH 125</v>
      </c>
      <c r="AH10" s="328">
        <f>X16</f>
        <v>1</v>
      </c>
      <c r="AI10" s="320">
        <f>Q16</f>
        <v>0</v>
      </c>
      <c r="AJ10" s="294">
        <f>IF(AN10="y",AG10,IF(AE10=10101,AG10,IF(AE10&gt;999999,"",IF(AE9&lt;&gt;AE10,"COREQ ERROR_CH 121",AG10))))</f>
      </c>
      <c r="AK10" s="158" t="b">
        <f>IF(OR(LEFT(Q16,1)="T",S16/X16&gt;=2),TRUE,FALSE)</f>
        <v>0</v>
      </c>
      <c r="AL10" s="39">
        <f>IF(P16&gt;0,P16*100,1000000)+IF(LEFT(O16,2)="Sp",1,IF(LEFT(O16,2)="Su",IF(AND(LEN(O16&gt;8),MID(O16,8,1)="2"),6,5),IF(LEFT(O16,2)="Fa",9,1000000)))</f>
        <v>2000000</v>
      </c>
      <c r="AM10" s="322"/>
      <c r="AN10" s="108"/>
      <c r="AO10" s="37"/>
      <c r="AP10" s="37" t="s">
        <v>105</v>
      </c>
      <c r="AV10" s="37" t="s">
        <v>142</v>
      </c>
      <c r="BA10" s="336">
        <f ca="1" t="shared" si="0"/>
      </c>
      <c r="BB10" s="336">
        <f ca="1" t="shared" si="1"/>
      </c>
      <c r="BC10" s="336">
        <f ca="1" t="shared" si="3"/>
      </c>
      <c r="BD10" s="336">
        <f ca="1" t="shared" si="1"/>
      </c>
      <c r="BE10" s="336">
        <f aca="true" ca="1" t="shared" si="12" ref="BE10:BO19">IF($AE10=BE$1,CELL("row",$AE10),"")</f>
      </c>
      <c r="BF10" s="336">
        <f ca="1" t="shared" si="4"/>
      </c>
      <c r="BG10" s="336">
        <f ca="1" t="shared" si="12"/>
      </c>
      <c r="BH10" s="336">
        <f ca="1" t="shared" si="12"/>
      </c>
      <c r="BI10" s="336">
        <f ca="1" t="shared" si="5"/>
      </c>
      <c r="BJ10" s="336">
        <f ca="1" t="shared" si="12"/>
      </c>
      <c r="BK10" s="336">
        <f ca="1" t="shared" si="12"/>
      </c>
      <c r="BL10" s="336">
        <f ca="1" t="shared" si="6"/>
      </c>
      <c r="BM10" s="336">
        <f ca="1" t="shared" si="12"/>
      </c>
      <c r="BN10" s="336">
        <f ca="1" t="shared" si="12"/>
      </c>
      <c r="BO10" s="336">
        <f ca="1" t="shared" si="7"/>
      </c>
    </row>
    <row r="11" spans="2:79" ht="13.5" customHeight="1" thickBot="1">
      <c r="B11" s="400" t="str">
        <f>IF(D5="Fall",D5&amp;" "&amp;E5,IF(D5="Spring","Fall"&amp;" "&amp;E5-1,IF(D5="Summer","Fall"&amp;" "&amp;E5-1," ")))</f>
        <v>Fall 2013</v>
      </c>
      <c r="C11" s="401"/>
      <c r="D11" s="402"/>
      <c r="E11" s="156">
        <f>IF(LEFT(B11,2)="Sp",1,IF(LEFT(B11,2)="Su",5,9))+VALUE(RIGHT(B11,4))*100</f>
        <v>201309</v>
      </c>
      <c r="F11" s="403" t="str">
        <f>IF(D5="Spring",D5&amp;" "&amp;E5,IF(D5="Fall","Spring"&amp;" "&amp;E5+1,IF(D5="Summer","Spring"&amp;" "&amp;E5," ")))</f>
        <v>Spring 2014</v>
      </c>
      <c r="G11" s="404"/>
      <c r="H11" s="405"/>
      <c r="I11" s="156">
        <f>IF(LEFT(F11,2)="Sp",1,IF(LEFT(F11,2)="Su",5,9))+VALUE(RIGHT(F11,4))*100</f>
        <v>201401</v>
      </c>
      <c r="J11" s="403" t="str">
        <f>IF(D5="Summer",D5&amp;" "&amp;E5,IF(D5="Fall","Summer"&amp;" "&amp;E5+1,IF(D5="Spring","Summer"&amp;" "&amp;E5)))</f>
        <v>Summer 2014</v>
      </c>
      <c r="K11" s="404"/>
      <c r="L11" s="405"/>
      <c r="M11" s="156">
        <f>IF(LEFT(J11,2)="Sp",1,IF(LEFT(J11,2)="Su",5,9))+VALUE(RIGHT(J11,4))*100</f>
        <v>201405</v>
      </c>
      <c r="O11" s="69"/>
      <c r="P11" s="78"/>
      <c r="Q11" s="97"/>
      <c r="R11" s="238" t="s">
        <v>171</v>
      </c>
      <c r="S11" s="238">
        <f>IF(LEFT(Q11,1)="a",4,IF(LEFT(Q11,1)="b",3,IF(LEFT(Q11,1)="c",2,IF(LEFT(Q11,1)="d",1,0))))*X11</f>
        <v>0</v>
      </c>
      <c r="T11" s="238">
        <f t="shared" si="11"/>
      </c>
      <c r="U11" s="238">
        <f t="shared" si="9"/>
      </c>
      <c r="V11" s="238">
        <f t="shared" si="10"/>
      </c>
      <c r="W11" s="51" t="s">
        <v>92</v>
      </c>
      <c r="X11" s="7">
        <v>4</v>
      </c>
      <c r="Y11" s="9" t="s">
        <v>11</v>
      </c>
      <c r="Z11" s="16" t="s">
        <v>91</v>
      </c>
      <c r="AD11" s="1">
        <v>11</v>
      </c>
      <c r="AE11" s="320">
        <f t="shared" si="2"/>
        <v>2000000</v>
      </c>
      <c r="AF11" s="336"/>
      <c r="AG11" s="38" t="str">
        <f aca="true" t="shared" si="13" ref="AG11:AH14">W18</f>
        <v>PH 111</v>
      </c>
      <c r="AH11" s="329">
        <f t="shared" si="13"/>
        <v>3</v>
      </c>
      <c r="AI11" s="330">
        <f>Q18</f>
        <v>0</v>
      </c>
      <c r="AJ11" s="294">
        <f>IF(AN11="y",AG11,IF(AE11=10101,AG11,IF(AE11&gt;999999,"",IF(AE11&lt;=AE4,"PREREQ ERROR_MA 171",AG11))))</f>
      </c>
      <c r="AK11" s="295" t="b">
        <f>IF(OR(LEFT(Q18,1)="T",S18/X18&gt;=2),TRUE,FALSE)</f>
        <v>0</v>
      </c>
      <c r="AL11" s="330">
        <f>IF(P18&gt;0,P18*100,1000000)+IF(LEFT(O18,2)="Sp",1,IF(LEFT(O18,2)="Su",IF(AND(LEN(O18&gt;8),MID(O18,8,1)="2"),6,5),IF(LEFT(O18,2)="Fa",9,1000000)))</f>
        <v>2000000</v>
      </c>
      <c r="AM11" s="322"/>
      <c r="AN11" s="108"/>
      <c r="AO11" s="37"/>
      <c r="AP11" s="67"/>
      <c r="AV11" s="37" t="s">
        <v>143</v>
      </c>
      <c r="AW11" s="37" t="s">
        <v>25</v>
      </c>
      <c r="BA11" s="336">
        <f ca="1" t="shared" si="0"/>
      </c>
      <c r="BB11" s="336">
        <f aca="true" ca="1" t="shared" si="14" ref="BB11:BD30">IF($AE11=BB$1,CELL("row",$AE11),"")</f>
      </c>
      <c r="BC11" s="336">
        <f ca="1" t="shared" si="3"/>
      </c>
      <c r="BD11" s="336">
        <f ca="1" t="shared" si="14"/>
      </c>
      <c r="BE11" s="336">
        <f ca="1" t="shared" si="12"/>
      </c>
      <c r="BF11" s="336">
        <f ca="1" t="shared" si="4"/>
      </c>
      <c r="BG11" s="336">
        <f ca="1" t="shared" si="12"/>
      </c>
      <c r="BH11" s="336">
        <f ca="1" t="shared" si="12"/>
      </c>
      <c r="BI11" s="336">
        <f ca="1" t="shared" si="5"/>
      </c>
      <c r="BJ11" s="336">
        <f ca="1" t="shared" si="12"/>
      </c>
      <c r="BK11" s="336">
        <f ca="1" t="shared" si="12"/>
      </c>
      <c r="BL11" s="336">
        <f ca="1" t="shared" si="6"/>
      </c>
      <c r="BM11" s="336">
        <f ca="1" t="shared" si="12"/>
      </c>
      <c r="BN11" s="336">
        <f ca="1" t="shared" si="12"/>
      </c>
      <c r="BO11" s="336">
        <f ca="1" t="shared" si="7"/>
      </c>
      <c r="BQ11" s="337">
        <f>E11</f>
        <v>201309</v>
      </c>
      <c r="BR11" s="338"/>
      <c r="BS11" s="339"/>
      <c r="BU11" s="337">
        <f>I11</f>
        <v>201401</v>
      </c>
      <c r="BV11" s="338"/>
      <c r="BW11" s="339"/>
      <c r="BY11" s="337">
        <f>M11</f>
        <v>201405</v>
      </c>
      <c r="BZ11" s="338"/>
      <c r="CA11" s="339"/>
    </row>
    <row r="12" spans="2:79" ht="13.5" customHeight="1">
      <c r="B12" s="134" t="s">
        <v>2</v>
      </c>
      <c r="C12" s="132" t="s">
        <v>3</v>
      </c>
      <c r="D12" s="133" t="s">
        <v>4</v>
      </c>
      <c r="E12" s="156"/>
      <c r="F12" s="131" t="s">
        <v>2</v>
      </c>
      <c r="G12" s="132" t="s">
        <v>3</v>
      </c>
      <c r="H12" s="133" t="s">
        <v>4</v>
      </c>
      <c r="I12" s="156"/>
      <c r="J12" s="131" t="s">
        <v>2</v>
      </c>
      <c r="K12" s="132" t="s">
        <v>3</v>
      </c>
      <c r="L12" s="133" t="s">
        <v>4</v>
      </c>
      <c r="M12" s="156"/>
      <c r="O12" s="127"/>
      <c r="P12" s="279"/>
      <c r="Q12" s="228"/>
      <c r="R12" s="239" t="s">
        <v>171</v>
      </c>
      <c r="S12" s="239">
        <f>IF(LEFT(Q12,1)="a",4,IF(LEFT(Q12,1)="b",3,IF(LEFT(Q12,1)="c",2,IF(LEFT(Q12,1)="d",1,0))))*X12</f>
        <v>0</v>
      </c>
      <c r="T12" s="239">
        <f t="shared" si="11"/>
      </c>
      <c r="U12" s="239">
        <f t="shared" si="9"/>
      </c>
      <c r="V12" s="239">
        <f t="shared" si="10"/>
      </c>
      <c r="W12" s="280" t="s">
        <v>93</v>
      </c>
      <c r="X12" s="53">
        <v>3</v>
      </c>
      <c r="Y12" s="54" t="s">
        <v>12</v>
      </c>
      <c r="Z12" s="281" t="s">
        <v>285</v>
      </c>
      <c r="AD12" s="1">
        <v>12</v>
      </c>
      <c r="AE12" s="320">
        <f t="shared" si="2"/>
        <v>2000000</v>
      </c>
      <c r="AF12" s="336"/>
      <c r="AG12" s="38" t="str">
        <f t="shared" si="13"/>
        <v>PH 114</v>
      </c>
      <c r="AH12" s="328">
        <f t="shared" si="13"/>
        <v>1</v>
      </c>
      <c r="AI12" s="320">
        <f>Q19</f>
        <v>0</v>
      </c>
      <c r="AJ12" s="294">
        <f>IF(AN12="y",AG12,IF(AE12=10101,AG12,IF(AE12&gt;999999,"",IF(AE12&lt;&gt;AE11,"COREQ ERROR_PH 111",AG12))))</f>
      </c>
      <c r="AK12" s="158" t="b">
        <f>IF(OR(LEFT(Q19,1)="T",S19/X19&gt;=2),TRUE,FALSE)</f>
        <v>0</v>
      </c>
      <c r="AL12" s="39">
        <f>IF(P19&gt;0,P19*100,1000000)+IF(LEFT(O19,2)="Sp",1,IF(LEFT(O19,2)="Su",IF(AND(LEN(O19&gt;8),MID(O19,8,1)="2"),6,5),IF(LEFT(O19,2)="Fa",9,1000000)))</f>
        <v>2000000</v>
      </c>
      <c r="AM12" s="322"/>
      <c r="AN12" s="108"/>
      <c r="AO12" s="37"/>
      <c r="AP12" s="68" t="s">
        <v>101</v>
      </c>
      <c r="AW12" s="37" t="s">
        <v>249</v>
      </c>
      <c r="BA12" s="336">
        <f ca="1" t="shared" si="0"/>
      </c>
      <c r="BB12" s="336">
        <f ca="1" t="shared" si="14"/>
      </c>
      <c r="BC12" s="336">
        <f ca="1" t="shared" si="3"/>
      </c>
      <c r="BD12" s="336">
        <f ca="1" t="shared" si="14"/>
      </c>
      <c r="BE12" s="336">
        <f ca="1" t="shared" si="12"/>
      </c>
      <c r="BF12" s="336">
        <f ca="1" t="shared" si="4"/>
      </c>
      <c r="BG12" s="336">
        <f ca="1" t="shared" si="12"/>
      </c>
      <c r="BH12" s="336">
        <f ca="1" t="shared" si="12"/>
      </c>
      <c r="BI12" s="336">
        <f ca="1" t="shared" si="5"/>
      </c>
      <c r="BJ12" s="336">
        <f ca="1" t="shared" si="12"/>
      </c>
      <c r="BK12" s="336">
        <f ca="1" t="shared" si="12"/>
      </c>
      <c r="BL12" s="336">
        <f ca="1" t="shared" si="6"/>
      </c>
      <c r="BM12" s="336">
        <f ca="1" t="shared" si="12"/>
      </c>
      <c r="BN12" s="336">
        <f ca="1" t="shared" si="12"/>
      </c>
      <c r="BO12" s="336">
        <f ca="1" t="shared" si="7"/>
      </c>
      <c r="BQ12" s="340" t="s">
        <v>153</v>
      </c>
      <c r="BR12" s="340" t="s">
        <v>155</v>
      </c>
      <c r="BS12" s="340" t="s">
        <v>156</v>
      </c>
      <c r="BT12" s="153"/>
      <c r="BU12" s="340" t="s">
        <v>153</v>
      </c>
      <c r="BV12" s="340" t="s">
        <v>155</v>
      </c>
      <c r="BW12" s="340" t="s">
        <v>156</v>
      </c>
      <c r="BX12" s="153"/>
      <c r="BY12" s="340" t="s">
        <v>153</v>
      </c>
      <c r="BZ12" s="340" t="s">
        <v>155</v>
      </c>
      <c r="CA12" s="340" t="s">
        <v>156</v>
      </c>
    </row>
    <row r="13" spans="2:79" ht="13.5" customHeight="1" thickBot="1">
      <c r="B13" s="130">
        <f>IF(BR13=BS13,BR13,"Error "&amp;BQ13)</f>
      </c>
      <c r="C13" s="39">
        <f>IF(BQ13&gt;0,INDEX(AECourses,BQ13,2),"")</f>
      </c>
      <c r="D13" s="43">
        <f aca="true" t="shared" si="15" ref="D13:D19">IF(BQ13&gt;0,INDEX(AECourses,BQ13,3),"")</f>
      </c>
      <c r="E13" s="153">
        <f>IF(LEFT(D13,1)="a",4*C13,IF(LEFT(D13,1)="b",3*C13,IF(LEFT(D13,1)="c",2*C13,IF(LEFT(D13,1)="d",C13,IF(LEFT(D13,1)="f",0,"")))))</f>
      </c>
      <c r="F13" s="130">
        <f>IF(BV13=BW13,BV13,"Error "&amp;BU13)</f>
      </c>
      <c r="G13" s="39">
        <f aca="true" t="shared" si="16" ref="G13:G19">IF(BU13&gt;0,INDEX(AECourses,BU13,2),"")</f>
      </c>
      <c r="H13" s="43">
        <f aca="true" t="shared" si="17" ref="H13:H19">IF(BU13&gt;0,INDEX(AECourses,BU13,3),"")</f>
      </c>
      <c r="I13" s="153">
        <f>IF(LEFT(H13,1)="a",4*G13,IF(LEFT(H13,1)="b",3*G13,IF(LEFT(H13,1)="c",2*G13,IF(LEFT(H13,1)="d",G13,IF(LEFT(H13,1)="f",0,"")))))</f>
      </c>
      <c r="J13" s="130">
        <f>IF(BZ13=CA13,BZ13,"Error "&amp;BY13)</f>
      </c>
      <c r="K13" s="39">
        <f aca="true" t="shared" si="18" ref="K13:K19">IF(BY13&gt;0,INDEX(AECourses,BY13,2),"")</f>
      </c>
      <c r="L13" s="43">
        <f aca="true" t="shared" si="19" ref="L13:L19">IF(BY13&gt;0,INDEX(AECourses,BY13,3),"")</f>
      </c>
      <c r="M13" s="153">
        <f>IF(LEFT(L13,1)="a",4*K13,IF(LEFT(L13,1)="b",3*K13,IF(LEFT(L13,1)="c",2*K13,IF(LEFT(L13,1)="d",K13,IF(LEFT(L13,1)="f",0,"")))))</f>
      </c>
      <c r="O13" s="79"/>
      <c r="P13" s="80"/>
      <c r="Q13" s="96"/>
      <c r="R13" s="237" t="s">
        <v>171</v>
      </c>
      <c r="S13" s="237">
        <f>IF(LEFT(Q13,1)="a",4,IF(LEFT(Q13,1)="b",3,IF(LEFT(Q13,1)="c",2,IF(LEFT(Q13,1)="d",1,0))))*X13</f>
        <v>0</v>
      </c>
      <c r="T13" s="237">
        <f>IF(OR(S13&gt;0,LEFT(Q13,1)="f"),X13,"")</f>
      </c>
      <c r="U13" s="237">
        <f>IF(R13="Y",S13,"")</f>
      </c>
      <c r="V13" s="237">
        <f>IF(AND(R13="Y",T13&gt;0),T13,"")</f>
      </c>
      <c r="W13" s="50" t="s">
        <v>151</v>
      </c>
      <c r="X13" s="8">
        <v>3</v>
      </c>
      <c r="Y13" s="30" t="s">
        <v>215</v>
      </c>
      <c r="Z13" s="17" t="s">
        <v>91</v>
      </c>
      <c r="AD13" s="1">
        <v>13</v>
      </c>
      <c r="AE13" s="320">
        <f t="shared" si="2"/>
        <v>2000000</v>
      </c>
      <c r="AF13" s="336"/>
      <c r="AG13" s="38" t="str">
        <f t="shared" si="13"/>
        <v>PH 112</v>
      </c>
      <c r="AH13" s="328">
        <f t="shared" si="13"/>
        <v>3</v>
      </c>
      <c r="AI13" s="320">
        <f>Q20</f>
        <v>0</v>
      </c>
      <c r="AJ13" s="294">
        <f>IF(AN13="y",AG13,IF(AE13=10101,AG13,IF(AE13&gt;999999,"",IF(AE13&lt;=AE5,"PREREQ ERROR_MA 172",IF(AE13&lt;=AE11,"PREREQ ERROR_PH 111",IF(AE14&lt;&gt;AE13,"COREQ ERROR_PH 115",AG13))))))</f>
      </c>
      <c r="AK13" s="158" t="b">
        <f>IF(OR(LEFT(Q20,1)="T",S20/X20&gt;=2),TRUE,FALSE)</f>
        <v>0</v>
      </c>
      <c r="AL13" s="39">
        <f>IF(P20&gt;0,P20*100,1000000)+IF(LEFT(O20,2)="Sp",1,IF(LEFT(O20,2)="Su",IF(AND(LEN(O20&gt;8),MID(O20,8,1)="2"),6,5),IF(LEFT(O20,2)="Fa",9,1000000)))</f>
        <v>2000000</v>
      </c>
      <c r="AM13" s="322"/>
      <c r="AN13" s="108"/>
      <c r="AO13" s="37"/>
      <c r="AS13" s="37"/>
      <c r="AT13" s="37"/>
      <c r="AU13" s="37" t="s">
        <v>106</v>
      </c>
      <c r="AV13" s="37" t="s">
        <v>106</v>
      </c>
      <c r="BA13" s="336">
        <f ca="1" t="shared" si="0"/>
      </c>
      <c r="BB13" s="336">
        <f ca="1" t="shared" si="14"/>
      </c>
      <c r="BC13" s="336">
        <f ca="1" t="shared" si="3"/>
      </c>
      <c r="BD13" s="336">
        <f ca="1" t="shared" si="14"/>
      </c>
      <c r="BE13" s="336">
        <f ca="1" t="shared" si="12"/>
      </c>
      <c r="BF13" s="336">
        <f ca="1" t="shared" si="4"/>
      </c>
      <c r="BG13" s="336">
        <f ca="1" t="shared" si="12"/>
      </c>
      <c r="BH13" s="336">
        <f ca="1" t="shared" si="12"/>
      </c>
      <c r="BI13" s="336">
        <f ca="1" t="shared" si="5"/>
      </c>
      <c r="BJ13" s="336">
        <f ca="1" t="shared" si="12"/>
      </c>
      <c r="BK13" s="336">
        <f ca="1" t="shared" si="12"/>
      </c>
      <c r="BL13" s="336">
        <f ca="1" t="shared" si="6"/>
      </c>
      <c r="BM13" s="336">
        <f ca="1" t="shared" si="12"/>
      </c>
      <c r="BN13" s="336">
        <f ca="1" t="shared" si="12"/>
      </c>
      <c r="BO13" s="336">
        <f ca="1" t="shared" si="7"/>
      </c>
      <c r="BQ13" s="176">
        <f aca="true" t="shared" si="20" ref="BQ13:BQ20">BA82</f>
        <v>0</v>
      </c>
      <c r="BR13" s="320">
        <f aca="true" t="shared" si="21" ref="BR13:BR20">IF(BQ13&gt;0,INDEX(AECourses,BQ13,1),"")</f>
      </c>
      <c r="BS13" s="320">
        <f aca="true" t="shared" si="22" ref="BS13:BS20">IF(BQ13&gt;0,INDEX(AECourses,BQ13,4),"")</f>
      </c>
      <c r="BT13" s="153"/>
      <c r="BU13" s="176">
        <f aca="true" t="shared" si="23" ref="BU13:BU20">BB82</f>
        <v>0</v>
      </c>
      <c r="BV13" s="320">
        <f aca="true" t="shared" si="24" ref="BV13:BV20">IF(BU13&gt;0,INDEX(AECourses,BU13,1),"")</f>
      </c>
      <c r="BW13" s="320">
        <f aca="true" t="shared" si="25" ref="BW13:BW20">IF(BU13&gt;0,INDEX(AECourses,BU13,4),"")</f>
      </c>
      <c r="BX13" s="153"/>
      <c r="BY13" s="176">
        <f aca="true" t="shared" si="26" ref="BY13:BY20">BC82</f>
        <v>0</v>
      </c>
      <c r="BZ13" s="320">
        <f aca="true" t="shared" si="27" ref="BZ13:BZ20">IF(BY13&gt;0,INDEX(AECourses,BY13,1),"")</f>
      </c>
      <c r="CA13" s="320">
        <f aca="true" t="shared" si="28" ref="CA13:CA20">IF(BY13&gt;0,INDEX(AECourses,BY13,4),"")</f>
      </c>
    </row>
    <row r="14" spans="2:79" ht="13.5" customHeight="1" thickBot="1">
      <c r="B14" s="130">
        <f aca="true" t="shared" si="29" ref="B14:B19">IF(BR14=BS14,BR14,"Error "&amp;BQ14)</f>
      </c>
      <c r="C14" s="39">
        <f aca="true" t="shared" si="30" ref="C14:C19">IF(BQ14&gt;0,INDEX(AECourses,BQ14,2),"")</f>
      </c>
      <c r="D14" s="43">
        <f t="shared" si="15"/>
      </c>
      <c r="E14" s="153">
        <f aca="true" t="shared" si="31" ref="E14:E19">IF(LEFT(D14,1)="a",4*C14,IF(LEFT(D14,1)="b",3*C14,IF(LEFT(D14,1)="c",2*C14,IF(LEFT(D14,1)="d",C14,IF(LEFT(D14,1)="f",0,"")))))</f>
      </c>
      <c r="F14" s="130">
        <f aca="true" t="shared" si="32" ref="F14:F19">IF(BV14=BW14,BV14,"Error "&amp;BU14)</f>
      </c>
      <c r="G14" s="39">
        <f t="shared" si="16"/>
      </c>
      <c r="H14" s="43">
        <f t="shared" si="17"/>
      </c>
      <c r="I14" s="153">
        <f aca="true" t="shared" si="33" ref="I14:I19">IF(LEFT(H14,1)="a",4*G14,IF(LEFT(H14,1)="b",3*G14,IF(LEFT(H14,1)="c",2*G14,IF(LEFT(H14,1)="d",G14,IF(LEFT(H14,1)="f",0,"")))))</f>
      </c>
      <c r="J14" s="130">
        <f aca="true" t="shared" si="34" ref="J14:J19">IF(BZ14=CA14,BZ14,"Error "&amp;BY14)</f>
      </c>
      <c r="K14" s="39">
        <f t="shared" si="18"/>
      </c>
      <c r="L14" s="43">
        <f t="shared" si="19"/>
      </c>
      <c r="M14" s="153">
        <f aca="true" t="shared" si="35" ref="M14:M19">IF(LEFT(L14,1)="a",4*K14,IF(LEFT(L14,1)="b",3*K14,IF(LEFT(L14,1)="c",2*K14,IF(LEFT(L14,1)="d",K14,IF(LEFT(L14,1)="f",0,"")))))</f>
      </c>
      <c r="O14" s="143" t="s">
        <v>13</v>
      </c>
      <c r="P14" s="144"/>
      <c r="Q14" s="144"/>
      <c r="R14" s="144"/>
      <c r="S14" s="305"/>
      <c r="T14" s="305"/>
      <c r="U14" s="305"/>
      <c r="V14" s="305"/>
      <c r="W14" s="144"/>
      <c r="X14" s="144"/>
      <c r="Y14" s="145"/>
      <c r="Z14" s="220" t="s">
        <v>55</v>
      </c>
      <c r="AD14" s="1">
        <v>14</v>
      </c>
      <c r="AE14" s="320">
        <f t="shared" si="2"/>
        <v>2000000</v>
      </c>
      <c r="AF14" s="336"/>
      <c r="AG14" s="38" t="str">
        <f t="shared" si="13"/>
        <v>PH 115</v>
      </c>
      <c r="AH14" s="328">
        <f t="shared" si="13"/>
        <v>1</v>
      </c>
      <c r="AI14" s="320">
        <f>Q21</f>
        <v>0</v>
      </c>
      <c r="AJ14" s="294">
        <f>IF(AN14="y",AG14,IF(AE14=10101,AG14,IF(AE14&gt;999999,"",IF(AE14&lt;&gt;AE13,"COREQ ERROR_PH 112",AG14))))</f>
      </c>
      <c r="AK14" s="158" t="b">
        <f>IF(OR(LEFT(Q21,1)="T",S21/X21&gt;=2),TRUE,FALSE)</f>
        <v>0</v>
      </c>
      <c r="AL14" s="39">
        <f>IF(P21&gt;0,P21*100,1000000)+IF(LEFT(O21,2)="Sp",1,IF(LEFT(O21,2)="Su",IF(AND(LEN(O21&gt;8),MID(O21,8,1)="2"),6,5),IF(LEFT(O21,2)="Fa",9,1000000)))</f>
        <v>2000000</v>
      </c>
      <c r="AM14" s="322"/>
      <c r="AN14" s="108"/>
      <c r="AO14" s="37"/>
      <c r="AP14" s="37" t="s">
        <v>174</v>
      </c>
      <c r="AS14" s="37"/>
      <c r="AT14" s="37"/>
      <c r="AU14" s="37" t="s">
        <v>103</v>
      </c>
      <c r="AV14" s="37" t="s">
        <v>103</v>
      </c>
      <c r="BA14" s="336">
        <f ca="1" t="shared" si="0"/>
      </c>
      <c r="BB14" s="336">
        <f ca="1" t="shared" si="14"/>
      </c>
      <c r="BC14" s="336">
        <f ca="1" t="shared" si="3"/>
      </c>
      <c r="BD14" s="336">
        <f ca="1" t="shared" si="14"/>
      </c>
      <c r="BE14" s="336">
        <f ca="1" t="shared" si="12"/>
      </c>
      <c r="BF14" s="336">
        <f ca="1" t="shared" si="4"/>
      </c>
      <c r="BG14" s="336">
        <f ca="1" t="shared" si="12"/>
      </c>
      <c r="BH14" s="336">
        <f ca="1" t="shared" si="12"/>
      </c>
      <c r="BI14" s="336">
        <f ca="1" t="shared" si="5"/>
      </c>
      <c r="BJ14" s="336">
        <f ca="1" t="shared" si="12"/>
      </c>
      <c r="BK14" s="336">
        <f ca="1" t="shared" si="12"/>
      </c>
      <c r="BL14" s="336">
        <f ca="1" t="shared" si="6"/>
      </c>
      <c r="BM14" s="336">
        <f ca="1" t="shared" si="12"/>
      </c>
      <c r="BN14" s="336">
        <f ca="1" t="shared" si="12"/>
      </c>
      <c r="BO14" s="336">
        <f ca="1" t="shared" si="7"/>
      </c>
      <c r="BQ14" s="176">
        <f t="shared" si="20"/>
        <v>0</v>
      </c>
      <c r="BR14" s="320">
        <f t="shared" si="21"/>
      </c>
      <c r="BS14" s="320">
        <f t="shared" si="22"/>
      </c>
      <c r="BT14" s="153"/>
      <c r="BU14" s="178">
        <f t="shared" si="23"/>
        <v>0</v>
      </c>
      <c r="BV14" s="320">
        <f t="shared" si="24"/>
      </c>
      <c r="BW14" s="320">
        <f t="shared" si="25"/>
      </c>
      <c r="BX14" s="153"/>
      <c r="BY14" s="178">
        <f t="shared" si="26"/>
        <v>0</v>
      </c>
      <c r="BZ14" s="320">
        <f t="shared" si="27"/>
      </c>
      <c r="CA14" s="320">
        <f t="shared" si="28"/>
      </c>
    </row>
    <row r="15" spans="2:79" ht="13.5" customHeight="1">
      <c r="B15" s="130">
        <f t="shared" si="29"/>
      </c>
      <c r="C15" s="39">
        <f t="shared" si="30"/>
      </c>
      <c r="D15" s="43">
        <f t="shared" si="15"/>
      </c>
      <c r="E15" s="153">
        <f t="shared" si="31"/>
      </c>
      <c r="F15" s="130">
        <f t="shared" si="32"/>
      </c>
      <c r="G15" s="39">
        <f t="shared" si="16"/>
      </c>
      <c r="H15" s="43">
        <f t="shared" si="17"/>
      </c>
      <c r="I15" s="153">
        <f t="shared" si="33"/>
      </c>
      <c r="J15" s="130">
        <f t="shared" si="34"/>
      </c>
      <c r="K15" s="39">
        <f t="shared" si="18"/>
      </c>
      <c r="L15" s="43">
        <f t="shared" si="19"/>
      </c>
      <c r="M15" s="153">
        <f t="shared" si="35"/>
      </c>
      <c r="O15" s="84"/>
      <c r="P15" s="85"/>
      <c r="Q15" s="95"/>
      <c r="R15" s="236" t="s">
        <v>171</v>
      </c>
      <c r="S15" s="236">
        <f>IF(LEFT(Q15,1)="a",4,IF(LEFT(Q15,1)="b",3,IF(LEFT(Q15,1)="c",2,IF(LEFT(Q15,1)="d",1,0))))*X15</f>
        <v>0</v>
      </c>
      <c r="T15" s="236">
        <f t="shared" si="11"/>
      </c>
      <c r="U15" s="236">
        <f t="shared" si="9"/>
      </c>
      <c r="V15" s="236">
        <f t="shared" si="10"/>
      </c>
      <c r="W15" s="47" t="s">
        <v>94</v>
      </c>
      <c r="X15" s="48">
        <v>3</v>
      </c>
      <c r="Y15" s="62" t="s">
        <v>227</v>
      </c>
      <c r="Z15" s="16" t="s">
        <v>271</v>
      </c>
      <c r="AD15" s="1">
        <v>15</v>
      </c>
      <c r="AE15" s="320">
        <f t="shared" si="2"/>
        <v>1000000</v>
      </c>
      <c r="AF15" s="336"/>
      <c r="AG15" s="38" t="s">
        <v>109</v>
      </c>
      <c r="AH15" s="331">
        <f>X23</f>
        <v>3</v>
      </c>
      <c r="AI15" s="332">
        <f>Q23</f>
        <v>0</v>
      </c>
      <c r="AJ15" s="294">
        <f>IF(AN15="y",AG15,IF(AE15=10101,AG15,IF(AE15&gt;999999,"",IF(AE15&lt;=AE9,"PREREQ ERROR_CH 121",IF(AE16&gt;AE15,"PREREQ w/Con ERROR_CH 126",AG15)))))</f>
      </c>
      <c r="AK15" s="293" t="b">
        <f>IF(OR(LEFT(Q23,1)="T",S23/X23&gt;=2),TRUE,FALSE)</f>
        <v>0</v>
      </c>
      <c r="AL15" s="332">
        <f>IF(W23=AG15,IF(P23&gt;0,P23*100,1000000)+IF(LEFT(O23,2)="Sp",1,IF(LEFT(O23,2)="Su",5,IF(LEFT(O23,2)="Fa",9,1000000))),1000000)</f>
        <v>1000000</v>
      </c>
      <c r="AM15" s="139" t="b">
        <f>OR(AE15&lt;999999,AE17&lt;999999)</f>
        <v>0</v>
      </c>
      <c r="AN15" s="108"/>
      <c r="AO15" s="37" t="b">
        <f>AND(AE15&gt;999999,AM$15)</f>
        <v>0</v>
      </c>
      <c r="AP15" s="37" t="s">
        <v>171</v>
      </c>
      <c r="AS15" s="37"/>
      <c r="AT15" s="37"/>
      <c r="AU15" s="37" t="s">
        <v>107</v>
      </c>
      <c r="AV15" s="37" t="s">
        <v>107</v>
      </c>
      <c r="BA15" s="336">
        <f ca="1" t="shared" si="0"/>
      </c>
      <c r="BB15" s="336">
        <f ca="1" t="shared" si="14"/>
      </c>
      <c r="BC15" s="336">
        <f ca="1" t="shared" si="14"/>
      </c>
      <c r="BD15" s="336">
        <f ca="1" t="shared" si="14"/>
      </c>
      <c r="BE15" s="336">
        <f ca="1" t="shared" si="12"/>
      </c>
      <c r="BF15" s="336">
        <f ca="1" t="shared" si="12"/>
      </c>
      <c r="BG15" s="336">
        <f ca="1" t="shared" si="12"/>
      </c>
      <c r="BH15" s="336">
        <f ca="1" t="shared" si="12"/>
      </c>
      <c r="BI15" s="336">
        <f ca="1" t="shared" si="12"/>
      </c>
      <c r="BJ15" s="336">
        <f ca="1" t="shared" si="12"/>
      </c>
      <c r="BK15" s="336">
        <f ca="1" t="shared" si="12"/>
      </c>
      <c r="BL15" s="336">
        <f ca="1" t="shared" si="12"/>
      </c>
      <c r="BM15" s="336">
        <f ca="1" t="shared" si="12"/>
      </c>
      <c r="BN15" s="336">
        <f ca="1" t="shared" si="12"/>
      </c>
      <c r="BO15" s="336">
        <f ca="1" t="shared" si="12"/>
      </c>
      <c r="BQ15" s="176">
        <f t="shared" si="20"/>
        <v>0</v>
      </c>
      <c r="BR15" s="320">
        <f t="shared" si="21"/>
      </c>
      <c r="BS15" s="320">
        <f t="shared" si="22"/>
      </c>
      <c r="BT15" s="153"/>
      <c r="BU15" s="178">
        <f t="shared" si="23"/>
        <v>0</v>
      </c>
      <c r="BV15" s="320">
        <f t="shared" si="24"/>
      </c>
      <c r="BW15" s="320">
        <f t="shared" si="25"/>
      </c>
      <c r="BX15" s="153"/>
      <c r="BY15" s="178">
        <f t="shared" si="26"/>
        <v>0</v>
      </c>
      <c r="BZ15" s="320">
        <f t="shared" si="27"/>
      </c>
      <c r="CA15" s="320">
        <f t="shared" si="28"/>
      </c>
    </row>
    <row r="16" spans="2:79" ht="13.5" customHeight="1" thickBot="1">
      <c r="B16" s="130">
        <f t="shared" si="29"/>
      </c>
      <c r="C16" s="39">
        <f t="shared" si="30"/>
      </c>
      <c r="D16" s="43">
        <f t="shared" si="15"/>
      </c>
      <c r="E16" s="153">
        <f t="shared" si="31"/>
      </c>
      <c r="F16" s="130">
        <f t="shared" si="32"/>
      </c>
      <c r="G16" s="39">
        <f t="shared" si="16"/>
      </c>
      <c r="H16" s="43">
        <f t="shared" si="17"/>
      </c>
      <c r="I16" s="153">
        <f t="shared" si="33"/>
      </c>
      <c r="J16" s="130">
        <f t="shared" si="34"/>
      </c>
      <c r="K16" s="39">
        <f t="shared" si="18"/>
      </c>
      <c r="L16" s="43">
        <f t="shared" si="19"/>
      </c>
      <c r="M16" s="153">
        <f t="shared" si="35"/>
      </c>
      <c r="N16" s="45"/>
      <c r="O16" s="79"/>
      <c r="P16" s="80"/>
      <c r="Q16" s="96"/>
      <c r="R16" s="237" t="s">
        <v>171</v>
      </c>
      <c r="S16" s="237">
        <f>IF(LEFT(Q16,1)="a",4,IF(LEFT(Q16,1)="b",3,IF(LEFT(Q16,1)="c",2,IF(LEFT(Q16,1)="d",1,0))))*X16</f>
        <v>0</v>
      </c>
      <c r="T16" s="237">
        <f t="shared" si="11"/>
      </c>
      <c r="U16" s="237">
        <f t="shared" si="9"/>
      </c>
      <c r="V16" s="237">
        <f t="shared" si="10"/>
      </c>
      <c r="W16" s="50" t="s">
        <v>95</v>
      </c>
      <c r="X16" s="8">
        <v>1</v>
      </c>
      <c r="Y16" s="30" t="s">
        <v>228</v>
      </c>
      <c r="Z16" s="375" t="s">
        <v>286</v>
      </c>
      <c r="AD16" s="1">
        <v>16</v>
      </c>
      <c r="AE16" s="320">
        <f t="shared" si="2"/>
        <v>1000000</v>
      </c>
      <c r="AF16" s="336"/>
      <c r="AG16" s="38" t="s">
        <v>110</v>
      </c>
      <c r="AH16" s="331">
        <f>X24</f>
        <v>1</v>
      </c>
      <c r="AI16" s="332">
        <f>Q24</f>
        <v>0</v>
      </c>
      <c r="AJ16" s="294">
        <f>IF(AN16="y",AG16,IF(AE16=10101,AG16,IF(AE16&gt;999999,"",IF(AE16&lt;&gt;AE15,"COREQ ERROR_CH 123",AG16))))</f>
      </c>
      <c r="AK16" s="293" t="b">
        <f>IF(OR(LEFT(Q24,1)="T",S24/X24&gt;=2),TRUE,FALSE)</f>
        <v>0</v>
      </c>
      <c r="AL16" s="332">
        <f>IF(W24=AG16,IF(P24&gt;0,P24*100,1000000)+IF(LEFT(O24,2)="Sp",1,IF(LEFT(O24,2)="Su",5,IF(LEFT(O24,2)="Fa",9,1000000))),1000000)</f>
        <v>1000000</v>
      </c>
      <c r="AM16" s="322"/>
      <c r="AN16" s="108"/>
      <c r="AO16" s="37" t="b">
        <f>AND(AE16&gt;999999,AM$15)</f>
        <v>0</v>
      </c>
      <c r="AU16" s="37" t="s">
        <v>104</v>
      </c>
      <c r="AV16" s="67" t="s">
        <v>104</v>
      </c>
      <c r="BA16" s="336">
        <f ca="1" t="shared" si="0"/>
      </c>
      <c r="BB16" s="336">
        <f ca="1" t="shared" si="14"/>
      </c>
      <c r="BC16" s="336">
        <f ca="1" t="shared" si="14"/>
      </c>
      <c r="BD16" s="336">
        <f ca="1" t="shared" si="14"/>
      </c>
      <c r="BE16" s="336">
        <f ca="1" t="shared" si="12"/>
      </c>
      <c r="BF16" s="336">
        <f ca="1" t="shared" si="12"/>
      </c>
      <c r="BG16" s="336">
        <f ca="1" t="shared" si="12"/>
      </c>
      <c r="BH16" s="336">
        <f ca="1" t="shared" si="12"/>
      </c>
      <c r="BI16" s="336">
        <f ca="1" t="shared" si="12"/>
      </c>
      <c r="BJ16" s="336">
        <f ca="1" t="shared" si="12"/>
      </c>
      <c r="BK16" s="336">
        <f ca="1" t="shared" si="12"/>
      </c>
      <c r="BL16" s="336">
        <f ca="1" t="shared" si="12"/>
      </c>
      <c r="BM16" s="336">
        <f ca="1" t="shared" si="12"/>
      </c>
      <c r="BN16" s="336">
        <f ca="1" t="shared" si="12"/>
      </c>
      <c r="BO16" s="336">
        <f ca="1" t="shared" si="12"/>
      </c>
      <c r="BQ16" s="176">
        <f t="shared" si="20"/>
        <v>0</v>
      </c>
      <c r="BR16" s="320">
        <f t="shared" si="21"/>
      </c>
      <c r="BS16" s="320">
        <f t="shared" si="22"/>
      </c>
      <c r="BT16" s="153"/>
      <c r="BU16" s="178">
        <f t="shared" si="23"/>
        <v>0</v>
      </c>
      <c r="BV16" s="320">
        <f t="shared" si="24"/>
      </c>
      <c r="BW16" s="320">
        <f t="shared" si="25"/>
      </c>
      <c r="BX16" s="153"/>
      <c r="BY16" s="178">
        <f t="shared" si="26"/>
        <v>0</v>
      </c>
      <c r="BZ16" s="320">
        <f t="shared" si="27"/>
      </c>
      <c r="CA16" s="320">
        <f t="shared" si="28"/>
      </c>
    </row>
    <row r="17" spans="2:79" ht="13.5" customHeight="1" thickBot="1">
      <c r="B17" s="130">
        <f t="shared" si="29"/>
      </c>
      <c r="C17" s="39">
        <f t="shared" si="30"/>
      </c>
      <c r="D17" s="43">
        <f t="shared" si="15"/>
      </c>
      <c r="E17" s="153">
        <f t="shared" si="31"/>
      </c>
      <c r="F17" s="130">
        <f t="shared" si="32"/>
      </c>
      <c r="G17" s="39">
        <f t="shared" si="16"/>
      </c>
      <c r="H17" s="43">
        <f t="shared" si="17"/>
      </c>
      <c r="I17" s="153">
        <f t="shared" si="33"/>
      </c>
      <c r="J17" s="130">
        <f t="shared" si="34"/>
      </c>
      <c r="K17" s="39">
        <f t="shared" si="18"/>
      </c>
      <c r="L17" s="43">
        <f t="shared" si="19"/>
      </c>
      <c r="M17" s="153">
        <f t="shared" si="35"/>
      </c>
      <c r="O17" s="143" t="s">
        <v>14</v>
      </c>
      <c r="P17" s="144"/>
      <c r="Q17" s="144"/>
      <c r="R17" s="232"/>
      <c r="S17" s="305"/>
      <c r="T17" s="305"/>
      <c r="U17" s="305"/>
      <c r="V17" s="305"/>
      <c r="W17" s="144"/>
      <c r="X17" s="144"/>
      <c r="Y17" s="145"/>
      <c r="Z17" s="216" t="s">
        <v>55</v>
      </c>
      <c r="AD17" s="1">
        <v>17</v>
      </c>
      <c r="AE17" s="320">
        <f t="shared" si="2"/>
        <v>1000000</v>
      </c>
      <c r="AF17" s="336"/>
      <c r="AG17" s="38" t="s">
        <v>111</v>
      </c>
      <c r="AH17" s="331">
        <f>X23</f>
        <v>3</v>
      </c>
      <c r="AI17" s="332">
        <f>Q23</f>
        <v>0</v>
      </c>
      <c r="AJ17" s="294">
        <f>IF(AN17="y",AG17,IF(AE17=10101,AG17,IF(AE17&gt;999999,"",IF(AE17&lt;=AE13,"PREREQ ERROR_PH 112",IF(AE17&lt;=AE6,"PREREQ ERROR_MA 201",IF(AE18&lt;&gt;AE17,"COREQ ERROR_PH 116",AG17))))))</f>
      </c>
      <c r="AK17" s="293" t="b">
        <f>IF(OR(LEFT(Q23,1)="T",S23/X23&gt;=2),TRUE,FALSE)</f>
        <v>0</v>
      </c>
      <c r="AL17" s="332">
        <f>IF(W23=AG17,IF(P23&gt;0,P23*100,1000000)+IF(LEFT(O23,2)="Sp",1,IF(LEFT(O23,2)="Su",5,IF(LEFT(O23,2)="Fa",9,1000000))),1000000)</f>
        <v>1000000</v>
      </c>
      <c r="AM17" s="322"/>
      <c r="AN17" s="108"/>
      <c r="AO17" s="37" t="b">
        <f>AND(AE17&gt;999999,AM$15)</f>
        <v>0</v>
      </c>
      <c r="AU17" s="37" t="s">
        <v>141</v>
      </c>
      <c r="AV17" s="68" t="s">
        <v>196</v>
      </c>
      <c r="BA17" s="336">
        <f ca="1" t="shared" si="0"/>
      </c>
      <c r="BB17" s="336">
        <f ca="1" t="shared" si="14"/>
      </c>
      <c r="BC17" s="336">
        <f ca="1" t="shared" si="14"/>
      </c>
      <c r="BD17" s="336">
        <f ca="1" t="shared" si="14"/>
      </c>
      <c r="BE17" s="336">
        <f ca="1" t="shared" si="12"/>
      </c>
      <c r="BF17" s="336">
        <f ca="1" t="shared" si="12"/>
      </c>
      <c r="BG17" s="336">
        <f ca="1" t="shared" si="12"/>
      </c>
      <c r="BH17" s="336">
        <f ca="1" t="shared" si="12"/>
      </c>
      <c r="BI17" s="336">
        <f ca="1" t="shared" si="12"/>
      </c>
      <c r="BJ17" s="336">
        <f ca="1" t="shared" si="12"/>
      </c>
      <c r="BK17" s="336">
        <f ca="1" t="shared" si="12"/>
      </c>
      <c r="BL17" s="336">
        <f ca="1" t="shared" si="12"/>
      </c>
      <c r="BM17" s="336">
        <f ca="1" t="shared" si="12"/>
      </c>
      <c r="BN17" s="336">
        <f ca="1" t="shared" si="12"/>
      </c>
      <c r="BO17" s="336">
        <f ca="1" t="shared" si="12"/>
      </c>
      <c r="BQ17" s="176">
        <f t="shared" si="20"/>
        <v>0</v>
      </c>
      <c r="BR17" s="320">
        <f t="shared" si="21"/>
      </c>
      <c r="BS17" s="320">
        <f t="shared" si="22"/>
      </c>
      <c r="BT17" s="153"/>
      <c r="BU17" s="178">
        <f t="shared" si="23"/>
        <v>0</v>
      </c>
      <c r="BV17" s="320">
        <f t="shared" si="24"/>
      </c>
      <c r="BW17" s="320">
        <f t="shared" si="25"/>
      </c>
      <c r="BX17" s="153"/>
      <c r="BY17" s="178">
        <f t="shared" si="26"/>
        <v>0</v>
      </c>
      <c r="BZ17" s="320">
        <f t="shared" si="27"/>
      </c>
      <c r="CA17" s="320">
        <f t="shared" si="28"/>
      </c>
    </row>
    <row r="18" spans="2:79" ht="13.5" customHeight="1">
      <c r="B18" s="130">
        <f t="shared" si="29"/>
      </c>
      <c r="C18" s="39">
        <f t="shared" si="30"/>
      </c>
      <c r="D18" s="43">
        <f t="shared" si="15"/>
      </c>
      <c r="E18" s="153">
        <f t="shared" si="31"/>
      </c>
      <c r="F18" s="130">
        <f t="shared" si="32"/>
      </c>
      <c r="G18" s="39">
        <f t="shared" si="16"/>
      </c>
      <c r="H18" s="43">
        <f t="shared" si="17"/>
      </c>
      <c r="I18" s="153">
        <f t="shared" si="33"/>
      </c>
      <c r="J18" s="130">
        <f t="shared" si="34"/>
      </c>
      <c r="K18" s="39">
        <f t="shared" si="18"/>
      </c>
      <c r="L18" s="43">
        <f t="shared" si="19"/>
      </c>
      <c r="M18" s="153">
        <f t="shared" si="35"/>
      </c>
      <c r="O18" s="84"/>
      <c r="P18" s="85"/>
      <c r="Q18" s="95"/>
      <c r="R18" s="236" t="s">
        <v>171</v>
      </c>
      <c r="S18" s="236">
        <f>IF(LEFT(Q18,1)="a",4,IF(LEFT(Q18,1)="b",3,IF(LEFT(Q18,1)="c",2,IF(LEFT(Q18,1)="d",1,0))))*X18</f>
        <v>0</v>
      </c>
      <c r="T18" s="236">
        <f t="shared" si="11"/>
      </c>
      <c r="U18" s="236">
        <f t="shared" si="9"/>
      </c>
      <c r="V18" s="236">
        <f t="shared" si="10"/>
      </c>
      <c r="W18" s="47" t="s">
        <v>96</v>
      </c>
      <c r="X18" s="48">
        <v>3</v>
      </c>
      <c r="Y18" s="62" t="s">
        <v>216</v>
      </c>
      <c r="Z18" s="16" t="s">
        <v>90</v>
      </c>
      <c r="AD18" s="1">
        <v>18</v>
      </c>
      <c r="AE18" s="320">
        <f t="shared" si="2"/>
        <v>1000000</v>
      </c>
      <c r="AF18" s="336"/>
      <c r="AG18" s="38" t="s">
        <v>112</v>
      </c>
      <c r="AH18" s="331">
        <f>X24</f>
        <v>1</v>
      </c>
      <c r="AI18" s="332">
        <f>Q24</f>
        <v>0</v>
      </c>
      <c r="AJ18" s="294">
        <f>IF(AN18="y",AG18,IF(AE18=10101,AG18,IF(AE18&gt;999999,"",IF(AE18&lt;&gt;AE17,"COREQ ERROR_PH 113",AG18))))</f>
      </c>
      <c r="AK18" s="293" t="b">
        <f>IF(OR(LEFT(Q24,1)="T",S24/X24&gt;=2),TRUE,FALSE)</f>
        <v>0</v>
      </c>
      <c r="AL18" s="332">
        <f>IF(W24=AG18,IF(P24&gt;0,P24*100,1000000)+IF(LEFT(O24,2)="Sp",1,IF(LEFT(O24,2)="Su",5,IF(LEFT(O24,2)="Fa",9,1000000))),1000000)</f>
        <v>1000000</v>
      </c>
      <c r="AM18" s="322"/>
      <c r="AN18" s="108"/>
      <c r="AO18" s="37" t="b">
        <f>AND(AE18&gt;999999,AM$15)</f>
        <v>0</v>
      </c>
      <c r="AU18" s="37" t="s">
        <v>140</v>
      </c>
      <c r="AV18" s="68" t="s">
        <v>209</v>
      </c>
      <c r="BA18" s="336">
        <f ca="1" t="shared" si="0"/>
      </c>
      <c r="BB18" s="336">
        <f ca="1" t="shared" si="14"/>
      </c>
      <c r="BC18" s="336">
        <f ca="1" t="shared" si="14"/>
      </c>
      <c r="BD18" s="336">
        <f ca="1" t="shared" si="14"/>
      </c>
      <c r="BE18" s="336">
        <f ca="1" t="shared" si="12"/>
      </c>
      <c r="BF18" s="336">
        <f ca="1" t="shared" si="12"/>
      </c>
      <c r="BG18" s="336">
        <f ca="1" t="shared" si="12"/>
      </c>
      <c r="BH18" s="336">
        <f ca="1" t="shared" si="12"/>
      </c>
      <c r="BI18" s="336">
        <f ca="1" t="shared" si="12"/>
      </c>
      <c r="BJ18" s="336">
        <f ca="1" t="shared" si="12"/>
      </c>
      <c r="BK18" s="336">
        <f ca="1" t="shared" si="12"/>
      </c>
      <c r="BL18" s="336">
        <f ca="1" t="shared" si="12"/>
      </c>
      <c r="BM18" s="336">
        <f ca="1" t="shared" si="12"/>
      </c>
      <c r="BN18" s="336">
        <f ca="1" t="shared" si="12"/>
      </c>
      <c r="BO18" s="336">
        <f ca="1" t="shared" si="12"/>
      </c>
      <c r="BQ18" s="176">
        <f t="shared" si="20"/>
        <v>0</v>
      </c>
      <c r="BR18" s="320">
        <f t="shared" si="21"/>
      </c>
      <c r="BS18" s="320">
        <f t="shared" si="22"/>
      </c>
      <c r="BT18" s="153"/>
      <c r="BU18" s="178">
        <f t="shared" si="23"/>
        <v>0</v>
      </c>
      <c r="BV18" s="320">
        <f t="shared" si="24"/>
      </c>
      <c r="BW18" s="320">
        <f t="shared" si="25"/>
      </c>
      <c r="BX18" s="153"/>
      <c r="BY18" s="178">
        <f t="shared" si="26"/>
        <v>0</v>
      </c>
      <c r="BZ18" s="320">
        <f t="shared" si="27"/>
      </c>
      <c r="CA18" s="320">
        <f t="shared" si="28"/>
      </c>
    </row>
    <row r="19" spans="2:79" ht="13.5" customHeight="1" thickBot="1">
      <c r="B19" s="369">
        <f t="shared" si="29"/>
      </c>
      <c r="C19" s="370">
        <f t="shared" si="30"/>
      </c>
      <c r="D19" s="371">
        <f t="shared" si="15"/>
      </c>
      <c r="E19" s="153">
        <f t="shared" si="31"/>
      </c>
      <c r="F19" s="369">
        <f t="shared" si="32"/>
      </c>
      <c r="G19" s="370">
        <f t="shared" si="16"/>
      </c>
      <c r="H19" s="371">
        <f t="shared" si="17"/>
      </c>
      <c r="I19" s="153">
        <f t="shared" si="33"/>
      </c>
      <c r="J19" s="369">
        <f t="shared" si="34"/>
      </c>
      <c r="K19" s="370">
        <f t="shared" si="18"/>
      </c>
      <c r="L19" s="371">
        <f t="shared" si="19"/>
      </c>
      <c r="M19" s="153">
        <f t="shared" si="35"/>
      </c>
      <c r="O19" s="69"/>
      <c r="P19" s="78"/>
      <c r="Q19" s="97"/>
      <c r="R19" s="238" t="s">
        <v>171</v>
      </c>
      <c r="S19" s="238">
        <f>IF(LEFT(Q19,1)="a",4,IF(LEFT(Q19,1)="b",3,IF(LEFT(Q19,1)="c",2,IF(LEFT(Q19,1)="d",1,0))))*X19</f>
        <v>0</v>
      </c>
      <c r="T19" s="238">
        <f t="shared" si="11"/>
      </c>
      <c r="U19" s="238">
        <f t="shared" si="9"/>
      </c>
      <c r="V19" s="238">
        <f t="shared" si="10"/>
      </c>
      <c r="W19" s="51" t="s">
        <v>97</v>
      </c>
      <c r="X19" s="7">
        <v>1</v>
      </c>
      <c r="Y19" s="18" t="s">
        <v>217</v>
      </c>
      <c r="Z19" s="16" t="s">
        <v>287</v>
      </c>
      <c r="AD19" s="1">
        <v>19</v>
      </c>
      <c r="AE19" s="320">
        <f t="shared" si="2"/>
        <v>2000000</v>
      </c>
      <c r="AF19" s="336"/>
      <c r="AG19" s="39" t="str">
        <f aca="true" t="shared" si="36" ref="AG19:AH21">W26</f>
        <v>HSBS</v>
      </c>
      <c r="AH19" s="329">
        <f t="shared" si="36"/>
        <v>3</v>
      </c>
      <c r="AI19" s="330">
        <f>Q26</f>
        <v>0</v>
      </c>
      <c r="AJ19" s="294">
        <f>IF(AE19&gt;999999,"",AG19)</f>
      </c>
      <c r="AK19" s="295" t="b">
        <f>IF(OR(LEFT(Q26,1)="T",S26/X26&gt;=2),TRUE,FALSE)</f>
        <v>0</v>
      </c>
      <c r="AL19" s="330">
        <f>IF(P26&gt;0,P26*100,1000000)+IF(LEFT(O26,2)="Sp",1,IF(LEFT(O26,2)="Su",5,IF(LEFT(O26,2)="Fa",9,1000000)))</f>
        <v>2000000</v>
      </c>
      <c r="AM19" s="322"/>
      <c r="AN19" s="108"/>
      <c r="AO19" s="37"/>
      <c r="AU19" s="37" t="s">
        <v>142</v>
      </c>
      <c r="AV19" s="68" t="s">
        <v>261</v>
      </c>
      <c r="BA19" s="336">
        <f ca="1" t="shared" si="0"/>
      </c>
      <c r="BB19" s="336">
        <f ca="1" t="shared" si="14"/>
      </c>
      <c r="BC19" s="336">
        <f ca="1" t="shared" si="14"/>
      </c>
      <c r="BD19" s="336">
        <f ca="1" t="shared" si="14"/>
      </c>
      <c r="BE19" s="336">
        <f ca="1" t="shared" si="12"/>
      </c>
      <c r="BF19" s="336">
        <f ca="1" t="shared" si="12"/>
      </c>
      <c r="BG19" s="336">
        <f ca="1" t="shared" si="12"/>
      </c>
      <c r="BH19" s="336">
        <f ca="1" t="shared" si="12"/>
      </c>
      <c r="BI19" s="336">
        <f ca="1" t="shared" si="12"/>
      </c>
      <c r="BJ19" s="336">
        <f ca="1" t="shared" si="12"/>
      </c>
      <c r="BK19" s="336">
        <f ca="1" t="shared" si="12"/>
      </c>
      <c r="BL19" s="336">
        <f ca="1" t="shared" si="12"/>
      </c>
      <c r="BM19" s="336">
        <f ca="1" t="shared" si="12"/>
      </c>
      <c r="BN19" s="336">
        <f ca="1" t="shared" si="12"/>
      </c>
      <c r="BO19" s="336">
        <f ca="1" t="shared" si="12"/>
      </c>
      <c r="BQ19" s="177">
        <f t="shared" si="20"/>
        <v>0</v>
      </c>
      <c r="BR19" s="320">
        <f t="shared" si="21"/>
      </c>
      <c r="BS19" s="320">
        <f t="shared" si="22"/>
      </c>
      <c r="BT19" s="153"/>
      <c r="BU19" s="178">
        <f t="shared" si="23"/>
        <v>0</v>
      </c>
      <c r="BV19" s="320">
        <f t="shared" si="24"/>
      </c>
      <c r="BW19" s="320">
        <f t="shared" si="25"/>
      </c>
      <c r="BX19" s="153"/>
      <c r="BY19" s="178">
        <f t="shared" si="26"/>
        <v>0</v>
      </c>
      <c r="BZ19" s="320">
        <f t="shared" si="27"/>
      </c>
      <c r="CA19" s="320">
        <f t="shared" si="28"/>
      </c>
    </row>
    <row r="20" spans="2:79" ht="13.5" customHeight="1" thickBot="1" thickTop="1">
      <c r="B20" s="372">
        <f>IF(BQ20&lt;&gt;0,"Excess "&amp;BQ20,"")</f>
      </c>
      <c r="C20" s="373">
        <f>SUM(C13:C19)</f>
        <v>0</v>
      </c>
      <c r="D20" s="374"/>
      <c r="E20" s="153"/>
      <c r="F20" s="372">
        <f>IF(BU20&lt;&gt;0,"Excess "&amp;BU20,"")</f>
      </c>
      <c r="G20" s="373">
        <f>SUM(G13:G19)</f>
        <v>0</v>
      </c>
      <c r="H20" s="374"/>
      <c r="I20" s="153"/>
      <c r="J20" s="372">
        <f>IF(BY20&lt;&gt;0,"Excess "&amp;BY20,"")</f>
      </c>
      <c r="K20" s="373">
        <f>SUM(K13:K19)</f>
        <v>0</v>
      </c>
      <c r="L20" s="374"/>
      <c r="M20" s="153"/>
      <c r="O20" s="69"/>
      <c r="P20" s="78"/>
      <c r="Q20" s="97"/>
      <c r="R20" s="238" t="s">
        <v>171</v>
      </c>
      <c r="S20" s="238">
        <f>IF(LEFT(Q20,1)="a",4,IF(LEFT(Q20,1)="b",3,IF(LEFT(Q20,1)="c",2,IF(LEFT(Q20,1)="d",1,0))))*X20</f>
        <v>0</v>
      </c>
      <c r="T20" s="238">
        <f t="shared" si="11"/>
      </c>
      <c r="U20" s="238">
        <f t="shared" si="9"/>
      </c>
      <c r="V20" s="238">
        <f t="shared" si="10"/>
      </c>
      <c r="W20" s="51" t="s">
        <v>98</v>
      </c>
      <c r="X20" s="7">
        <v>3</v>
      </c>
      <c r="Y20" s="18" t="s">
        <v>218</v>
      </c>
      <c r="Z20" s="16" t="s">
        <v>288</v>
      </c>
      <c r="AD20" s="1">
        <v>20</v>
      </c>
      <c r="AE20" s="320">
        <f t="shared" si="2"/>
        <v>2000000</v>
      </c>
      <c r="AF20" s="336"/>
      <c r="AG20" s="39" t="str">
        <f t="shared" si="36"/>
        <v>HFA</v>
      </c>
      <c r="AH20" s="328">
        <f t="shared" si="36"/>
        <v>3</v>
      </c>
      <c r="AI20" s="320">
        <f>Q27</f>
        <v>0</v>
      </c>
      <c r="AJ20" s="294">
        <f aca="true" t="shared" si="37" ref="AJ20:AJ26">IF(AE20&gt;999999,"",AG20)</f>
      </c>
      <c r="AK20" s="158" t="b">
        <f>IF(OR(LEFT(Q27,1)="T",S27/X27&gt;=2),TRUE,FALSE)</f>
        <v>0</v>
      </c>
      <c r="AL20" s="320">
        <f>IF(P27&gt;0,P27*100,1000000)+IF(LEFT(O27,2)="Sp",1,IF(LEFT(O27,2)="Su",5,IF(LEFT(O27,2)="Fa",9,1000000)))</f>
        <v>2000000</v>
      </c>
      <c r="AM20" s="322"/>
      <c r="AN20" s="108"/>
      <c r="AO20" s="345"/>
      <c r="AU20" s="37" t="s">
        <v>143</v>
      </c>
      <c r="AV20" s="68" t="s">
        <v>208</v>
      </c>
      <c r="BA20" s="336">
        <f ca="1" t="shared" si="0"/>
      </c>
      <c r="BB20" s="336">
        <f ca="1" t="shared" si="14"/>
      </c>
      <c r="BC20" s="336">
        <f ca="1" t="shared" si="14"/>
      </c>
      <c r="BD20" s="336">
        <f ca="1" t="shared" si="14"/>
      </c>
      <c r="BE20" s="336">
        <f aca="true" ca="1" t="shared" si="38" ref="BE20:BO29">IF($AE20=BE$1,CELL("row",$AE20),"")</f>
      </c>
      <c r="BF20" s="336">
        <f ca="1" t="shared" si="38"/>
      </c>
      <c r="BG20" s="336">
        <f ca="1" t="shared" si="38"/>
      </c>
      <c r="BH20" s="336">
        <f ca="1" t="shared" si="38"/>
      </c>
      <c r="BI20" s="336">
        <f ca="1" t="shared" si="38"/>
      </c>
      <c r="BJ20" s="336">
        <f ca="1" t="shared" si="38"/>
      </c>
      <c r="BK20" s="336">
        <f ca="1" t="shared" si="38"/>
      </c>
      <c r="BL20" s="336">
        <f ca="1" t="shared" si="38"/>
      </c>
      <c r="BM20" s="336">
        <f ca="1" t="shared" si="38"/>
      </c>
      <c r="BN20" s="336">
        <f ca="1" t="shared" si="38"/>
      </c>
      <c r="BO20" s="336">
        <f ca="1" t="shared" si="38"/>
      </c>
      <c r="BQ20" s="177">
        <f t="shared" si="20"/>
        <v>0</v>
      </c>
      <c r="BR20" s="320">
        <f t="shared" si="21"/>
      </c>
      <c r="BS20" s="320">
        <f t="shared" si="22"/>
      </c>
      <c r="BT20" s="153"/>
      <c r="BU20" s="178">
        <f t="shared" si="23"/>
        <v>0</v>
      </c>
      <c r="BV20" s="320">
        <f t="shared" si="24"/>
      </c>
      <c r="BW20" s="320">
        <f t="shared" si="25"/>
      </c>
      <c r="BX20" s="153"/>
      <c r="BY20" s="178">
        <f t="shared" si="26"/>
        <v>0</v>
      </c>
      <c r="BZ20" s="320">
        <f t="shared" si="27"/>
      </c>
      <c r="CA20" s="320">
        <f t="shared" si="28"/>
      </c>
    </row>
    <row r="21" spans="2:77" ht="13.5" customHeight="1" thickBot="1">
      <c r="B21" s="138"/>
      <c r="C21" s="152" t="s">
        <v>137</v>
      </c>
      <c r="D21" s="154">
        <f>IF(SUMIF(E13:E19,"&gt;=0",C13:C19)&gt;0,SUM(E13:E19)/SUMIF(E13:E19,"&gt;=0",C13:C19),"")</f>
      </c>
      <c r="E21" s="153"/>
      <c r="F21" s="139"/>
      <c r="G21" s="152" t="s">
        <v>137</v>
      </c>
      <c r="H21" s="154">
        <f>IF(SUMIF(I13:I19,"&gt;=0",G13:G19)&gt;0,SUM(I13:I19)/SUMIF(I13:I19,"&gt;=0",G13:G19),"")</f>
      </c>
      <c r="I21" s="153"/>
      <c r="J21" s="139"/>
      <c r="K21" s="152" t="s">
        <v>137</v>
      </c>
      <c r="L21" s="154">
        <f>IF(SUMIF(M13:M19,"&gt;=0",K13:K19)&gt;0,SUM(M13:M19)/SUMIF(M13:M19,"&gt;=0",K13:K19),"")</f>
      </c>
      <c r="M21" s="153"/>
      <c r="O21" s="79"/>
      <c r="P21" s="80"/>
      <c r="Q21" s="96"/>
      <c r="R21" s="237" t="s">
        <v>171</v>
      </c>
      <c r="S21" s="237">
        <f>IF(LEFT(Q21,1)="a",4,IF(LEFT(Q21,1)="b",3,IF(LEFT(Q21,1)="c",2,IF(LEFT(Q21,1)="d",1,0))))*X21</f>
        <v>0</v>
      </c>
      <c r="T21" s="237">
        <f t="shared" si="11"/>
      </c>
      <c r="U21" s="237">
        <f t="shared" si="9"/>
      </c>
      <c r="V21" s="237">
        <f t="shared" si="10"/>
      </c>
      <c r="W21" s="50" t="s">
        <v>99</v>
      </c>
      <c r="X21" s="8">
        <v>1</v>
      </c>
      <c r="Y21" s="30" t="s">
        <v>219</v>
      </c>
      <c r="Z21" s="17" t="s">
        <v>289</v>
      </c>
      <c r="AD21" s="1">
        <v>21</v>
      </c>
      <c r="AE21" s="320">
        <f t="shared" si="2"/>
        <v>2000000</v>
      </c>
      <c r="AF21" s="336"/>
      <c r="AG21" s="39">
        <f t="shared" si="36"/>
        <v>0</v>
      </c>
      <c r="AH21" s="328">
        <f t="shared" si="36"/>
        <v>3</v>
      </c>
      <c r="AI21" s="320">
        <f>Q28</f>
        <v>0</v>
      </c>
      <c r="AJ21" s="294">
        <f t="shared" si="37"/>
      </c>
      <c r="AK21" s="158" t="b">
        <f>IF(OR(LEFT(Q28,1)="T",S28/X28&gt;=2),TRUE,FALSE)</f>
        <v>0</v>
      </c>
      <c r="AL21" s="320">
        <f>IF(P28&gt;0,P28*100,1000000)+IF(LEFT(O28,2)="Sp",1,IF(LEFT(O28,2)="Su",5,IF(LEFT(O28,2)="Fa",9,1000000)))</f>
        <v>2000000</v>
      </c>
      <c r="AM21" s="322"/>
      <c r="AN21" s="108"/>
      <c r="AO21" s="37"/>
      <c r="AV21" s="37" t="s">
        <v>141</v>
      </c>
      <c r="BA21" s="336">
        <f ca="1" t="shared" si="0"/>
      </c>
      <c r="BB21" s="336">
        <f ca="1" t="shared" si="14"/>
      </c>
      <c r="BC21" s="336">
        <f ca="1" t="shared" si="14"/>
      </c>
      <c r="BD21" s="336">
        <f ca="1" t="shared" si="14"/>
      </c>
      <c r="BE21" s="336">
        <f ca="1" t="shared" si="38"/>
      </c>
      <c r="BF21" s="336">
        <f ca="1" t="shared" si="38"/>
      </c>
      <c r="BG21" s="336">
        <f ca="1" t="shared" si="38"/>
      </c>
      <c r="BH21" s="336">
        <f ca="1" t="shared" si="38"/>
      </c>
      <c r="BI21" s="336">
        <f ca="1" t="shared" si="38"/>
      </c>
      <c r="BJ21" s="336">
        <f ca="1" t="shared" si="38"/>
      </c>
      <c r="BK21" s="336">
        <f ca="1" t="shared" si="38"/>
      </c>
      <c r="BL21" s="336">
        <f ca="1" t="shared" si="38"/>
      </c>
      <c r="BM21" s="336">
        <f ca="1" t="shared" si="38"/>
      </c>
      <c r="BN21" s="336">
        <f ca="1" t="shared" si="38"/>
      </c>
      <c r="BO21" s="336">
        <f ca="1" t="shared" si="38"/>
      </c>
      <c r="BQ21" s="138"/>
      <c r="BT21" s="153"/>
      <c r="BU21" s="139"/>
      <c r="BX21" s="153"/>
      <c r="BY21" s="139"/>
    </row>
    <row r="22" spans="2:67" ht="13.5" customHeight="1" thickBot="1">
      <c r="B22" s="36"/>
      <c r="C22" s="36"/>
      <c r="D22" s="36"/>
      <c r="E22" s="153"/>
      <c r="F22" s="124"/>
      <c r="G22" s="36"/>
      <c r="H22" s="36"/>
      <c r="I22" s="153"/>
      <c r="J22" s="36"/>
      <c r="K22" s="36"/>
      <c r="L22" s="36"/>
      <c r="M22" s="153"/>
      <c r="O22" s="143" t="s">
        <v>15</v>
      </c>
      <c r="P22" s="144"/>
      <c r="Q22" s="144"/>
      <c r="R22" s="232"/>
      <c r="S22" s="305"/>
      <c r="T22" s="305"/>
      <c r="U22" s="305"/>
      <c r="V22" s="305"/>
      <c r="W22" s="144"/>
      <c r="X22" s="144"/>
      <c r="Y22" s="145"/>
      <c r="Z22" s="65" t="s">
        <v>127</v>
      </c>
      <c r="AD22" s="1">
        <v>22</v>
      </c>
      <c r="AE22" s="320">
        <f t="shared" si="2"/>
        <v>2000000</v>
      </c>
      <c r="AF22" s="336"/>
      <c r="AG22" s="39">
        <f>W29</f>
        <v>0</v>
      </c>
      <c r="AH22" s="328">
        <f>X29</f>
        <v>3</v>
      </c>
      <c r="AI22" s="320">
        <f>Q29</f>
        <v>0</v>
      </c>
      <c r="AJ22" s="294">
        <f t="shared" si="37"/>
      </c>
      <c r="AK22" s="158" t="b">
        <f>IF(OR(LEFT(Q29,1)="T",S29/X29&gt;=2),TRUE,FALSE)</f>
        <v>0</v>
      </c>
      <c r="AL22" s="320">
        <f>IF(P29&gt;0,P29*100,1000000)+IF(LEFT(O29,2)="Sp",1,IF(LEFT(O29,2)="Su",5,IF(LEFT(O29,2)="Fa",9,1000000)))</f>
        <v>2000000</v>
      </c>
      <c r="AM22" s="322"/>
      <c r="AN22" s="108"/>
      <c r="AO22" s="37"/>
      <c r="AV22" s="37" t="s">
        <v>140</v>
      </c>
      <c r="BA22" s="336">
        <f ca="1" t="shared" si="0"/>
      </c>
      <c r="BB22" s="336">
        <f ca="1" t="shared" si="14"/>
      </c>
      <c r="BC22" s="336">
        <f ca="1" t="shared" si="14"/>
      </c>
      <c r="BD22" s="336">
        <f ca="1" t="shared" si="14"/>
      </c>
      <c r="BE22" s="336">
        <f ca="1" t="shared" si="38"/>
      </c>
      <c r="BF22" s="336">
        <f ca="1" t="shared" si="38"/>
      </c>
      <c r="BG22" s="336">
        <f ca="1" t="shared" si="38"/>
      </c>
      <c r="BH22" s="336">
        <f ca="1" t="shared" si="38"/>
      </c>
      <c r="BI22" s="336">
        <f ca="1" t="shared" si="38"/>
      </c>
      <c r="BJ22" s="336">
        <f ca="1" t="shared" si="38"/>
      </c>
      <c r="BK22" s="336">
        <f ca="1" t="shared" si="38"/>
      </c>
      <c r="BL22" s="336">
        <f ca="1" t="shared" si="38"/>
      </c>
      <c r="BM22" s="336">
        <f ca="1" t="shared" si="38"/>
      </c>
      <c r="BN22" s="336">
        <f ca="1" t="shared" si="38"/>
      </c>
      <c r="BO22" s="336">
        <f ca="1" t="shared" si="38"/>
      </c>
    </row>
    <row r="23" spans="2:79" ht="13.5" customHeight="1" thickBot="1">
      <c r="B23" s="430" t="str">
        <f>IF(OR($D$5="Spring",$D$5="Summer"),"Fall"&amp;" "&amp;$E$5,IF($D$5="Fall","Fall"&amp;" "&amp;$E$5+1,""))</f>
        <v>Fall 2014</v>
      </c>
      <c r="C23" s="431"/>
      <c r="D23" s="432"/>
      <c r="E23" s="156">
        <f>IF(LEFT(B23,2)="Sp",1,IF(LEFT(B23,2)="Su",5,9))+VALUE(RIGHT(B23,4))*100</f>
        <v>201409</v>
      </c>
      <c r="F23" s="430" t="str">
        <f>IF(F11="Spring"&amp;" "&amp;E5+1,"Spring"&amp;" "&amp;E5+2,"Spring"&amp;" "&amp;E5+1)</f>
        <v>Spring 2015</v>
      </c>
      <c r="G23" s="431"/>
      <c r="H23" s="432"/>
      <c r="I23" s="156">
        <f>IF(LEFT(F23,2)="Sp",1,IF(LEFT(F23,2)="Su",5,9))+VALUE(RIGHT(F23,4))*100</f>
        <v>201501</v>
      </c>
      <c r="J23" s="430" t="str">
        <f>IF(J11="Summer"&amp;" "&amp;E5+1,"Summer"&amp;" "&amp;E5+2,"Summer"&amp;" "&amp;E5+1)</f>
        <v>Summer 2015</v>
      </c>
      <c r="K23" s="431"/>
      <c r="L23" s="432"/>
      <c r="M23" s="156">
        <f>IF(LEFT(J23,2)="Sp",1,IF(LEFT(J23,2)="Su",5,9))+VALUE(RIGHT(J23,4))*100</f>
        <v>201505</v>
      </c>
      <c r="O23" s="84"/>
      <c r="P23" s="85"/>
      <c r="Q23" s="95"/>
      <c r="R23" s="236" t="s">
        <v>171</v>
      </c>
      <c r="S23" s="236">
        <f aca="true" t="shared" si="39" ref="S23:S75">IF(LEFT(Q23,1)="a",4,IF(LEFT(Q23,1)="b",3,IF(LEFT(Q23,1)="c",2,IF(LEFT(Q23,1)="d",1,0))))*X23</f>
        <v>0</v>
      </c>
      <c r="T23" s="236">
        <f aca="true" t="shared" si="40" ref="T23:T73">IF(OR(S23&gt;0,LEFT(Q23,1)="f"),X23,"")</f>
      </c>
      <c r="U23" s="236">
        <f aca="true" t="shared" si="41" ref="U23:U73">IF(R23="Y",S23,"")</f>
      </c>
      <c r="V23" s="236">
        <f aca="true" t="shared" si="42" ref="V23:V73">IF(AND(R23="Y",T23&gt;0),T23,"")</f>
      </c>
      <c r="W23" s="91"/>
      <c r="X23" s="48">
        <v>3</v>
      </c>
      <c r="Y23" s="348" t="str">
        <f>IF(W23="","Choose from CH 123 or PH 113",IF(W23="CH 123","General Chemistry II","General Physics with Calculus III"))</f>
        <v>Choose from CH 123 or PH 113</v>
      </c>
      <c r="Z23" s="412" t="s">
        <v>206</v>
      </c>
      <c r="AD23" s="1">
        <v>23</v>
      </c>
      <c r="AE23" s="320">
        <f t="shared" si="2"/>
        <v>2000000</v>
      </c>
      <c r="AF23" s="336"/>
      <c r="AG23" s="39">
        <f>W30</f>
        <v>0</v>
      </c>
      <c r="AH23" s="328">
        <f>X30</f>
        <v>3</v>
      </c>
      <c r="AI23" s="320">
        <f>Q30</f>
        <v>0</v>
      </c>
      <c r="AJ23" s="294">
        <f t="shared" si="37"/>
      </c>
      <c r="AK23" s="158" t="b">
        <f>IF(OR(LEFT(Q30,1)="T",S30/X30&gt;=2),TRUE,FALSE)</f>
        <v>0</v>
      </c>
      <c r="AL23" s="320">
        <f>IF(P30&gt;0,P30*100,1000000)+IF(LEFT(O30,2)="Sp",1,IF(LEFT(O30,2)="Su",5,IF(LEFT(O30,2)="Fa",9,1000000)))</f>
        <v>2000000</v>
      </c>
      <c r="AM23" s="322"/>
      <c r="AN23" s="108"/>
      <c r="AO23" s="37"/>
      <c r="AV23" s="37" t="s">
        <v>142</v>
      </c>
      <c r="BA23" s="336">
        <f ca="1" t="shared" si="0"/>
      </c>
      <c r="BB23" s="336">
        <f ca="1" t="shared" si="14"/>
      </c>
      <c r="BC23" s="336">
        <f ca="1" t="shared" si="14"/>
      </c>
      <c r="BD23" s="336">
        <f ca="1" t="shared" si="14"/>
      </c>
      <c r="BE23" s="336">
        <f ca="1" t="shared" si="38"/>
      </c>
      <c r="BF23" s="336">
        <f ca="1" t="shared" si="38"/>
      </c>
      <c r="BG23" s="336">
        <f ca="1" t="shared" si="38"/>
      </c>
      <c r="BH23" s="336">
        <f ca="1" t="shared" si="38"/>
      </c>
      <c r="BI23" s="336">
        <f ca="1" t="shared" si="38"/>
      </c>
      <c r="BJ23" s="336">
        <f ca="1" t="shared" si="38"/>
      </c>
      <c r="BK23" s="336">
        <f ca="1" t="shared" si="38"/>
      </c>
      <c r="BL23" s="336">
        <f ca="1" t="shared" si="38"/>
      </c>
      <c r="BM23" s="336">
        <f ca="1" t="shared" si="38"/>
      </c>
      <c r="BN23" s="336">
        <f ca="1" t="shared" si="38"/>
      </c>
      <c r="BO23" s="336">
        <f ca="1" t="shared" si="38"/>
      </c>
      <c r="BQ23" s="179">
        <f>E23</f>
        <v>201409</v>
      </c>
      <c r="BR23" s="180"/>
      <c r="BS23" s="181"/>
      <c r="BT23" s="153"/>
      <c r="BU23" s="179">
        <f>I23</f>
        <v>201501</v>
      </c>
      <c r="BV23" s="180"/>
      <c r="BW23" s="181"/>
      <c r="BX23" s="153"/>
      <c r="BY23" s="179">
        <f>M23</f>
        <v>201505</v>
      </c>
      <c r="BZ23" s="180"/>
      <c r="CA23" s="181"/>
    </row>
    <row r="24" spans="2:79" ht="13.5" customHeight="1" thickBot="1">
      <c r="B24" s="135" t="s">
        <v>2</v>
      </c>
      <c r="C24" s="136" t="s">
        <v>3</v>
      </c>
      <c r="D24" s="137" t="s">
        <v>4</v>
      </c>
      <c r="E24" s="153"/>
      <c r="F24" s="135" t="s">
        <v>2</v>
      </c>
      <c r="G24" s="136" t="s">
        <v>3</v>
      </c>
      <c r="H24" s="137" t="s">
        <v>4</v>
      </c>
      <c r="I24" s="153"/>
      <c r="J24" s="135" t="s">
        <v>2</v>
      </c>
      <c r="K24" s="136" t="s">
        <v>3</v>
      </c>
      <c r="L24" s="137" t="s">
        <v>4</v>
      </c>
      <c r="M24" s="153"/>
      <c r="O24" s="79"/>
      <c r="P24" s="80"/>
      <c r="Q24" s="96"/>
      <c r="R24" s="237" t="s">
        <v>171</v>
      </c>
      <c r="S24" s="237">
        <f t="shared" si="39"/>
        <v>0</v>
      </c>
      <c r="T24" s="237">
        <f t="shared" si="40"/>
      </c>
      <c r="U24" s="237">
        <f t="shared" si="41"/>
      </c>
      <c r="V24" s="237">
        <f t="shared" si="42"/>
      </c>
      <c r="W24" s="313">
        <f>IF(W23="CH 123","CH 126",IF(W23="PH 113","PH 116",""))</f>
      </c>
      <c r="X24" s="8">
        <v>1</v>
      </c>
      <c r="Y24" s="349" t="str">
        <f>IF(W23="","Associated Lab course",IF(W23="CH 123","General Chemistry Laboratory II","General Physics Laboratory III"))</f>
        <v>Associated Lab course</v>
      </c>
      <c r="Z24" s="413"/>
      <c r="AD24" s="1">
        <v>24</v>
      </c>
      <c r="AE24" s="320">
        <f t="shared" si="2"/>
        <v>2000000</v>
      </c>
      <c r="AF24" s="336"/>
      <c r="AG24" s="39" t="str">
        <f aca="true" t="shared" si="43" ref="AG24:AH26">W32</f>
        <v>FYE 101</v>
      </c>
      <c r="AH24" s="328">
        <f t="shared" si="43"/>
        <v>1</v>
      </c>
      <c r="AI24" s="320">
        <f>Q32</f>
        <v>0</v>
      </c>
      <c r="AJ24" s="294">
        <f t="shared" si="37"/>
      </c>
      <c r="AK24" s="158" t="b">
        <f>IF(OR(X32=0,X32=""),FALSE,IF(OR(LEFT(Q32,1)="T",S32/X32&gt;=2),TRUE,FALSE))</f>
        <v>0</v>
      </c>
      <c r="AL24" s="320">
        <f>IF(P32&gt;0,P32*100,1000000)+IF(LEFT(O32,2)="Sp",1,IF(LEFT(O32,2)="Su",5,IF(LEFT(O32,2)="Fa",9,1000000)))</f>
        <v>2000000</v>
      </c>
      <c r="AM24" s="322"/>
      <c r="AN24" s="108"/>
      <c r="AO24" s="37"/>
      <c r="AV24" s="37" t="s">
        <v>309</v>
      </c>
      <c r="BA24" s="336">
        <f ca="1" t="shared" si="0"/>
      </c>
      <c r="BB24" s="336">
        <f ca="1" t="shared" si="14"/>
      </c>
      <c r="BC24" s="336">
        <f ca="1" t="shared" si="14"/>
      </c>
      <c r="BD24" s="336">
        <f ca="1" t="shared" si="14"/>
      </c>
      <c r="BE24" s="336">
        <f ca="1" t="shared" si="38"/>
      </c>
      <c r="BF24" s="336">
        <f ca="1" t="shared" si="38"/>
      </c>
      <c r="BG24" s="336">
        <f ca="1" t="shared" si="38"/>
      </c>
      <c r="BH24" s="336">
        <f ca="1" t="shared" si="38"/>
      </c>
      <c r="BI24" s="336">
        <f ca="1" t="shared" si="38"/>
      </c>
      <c r="BJ24" s="336">
        <f ca="1" t="shared" si="38"/>
      </c>
      <c r="BK24" s="336">
        <f ca="1" t="shared" si="38"/>
      </c>
      <c r="BL24" s="336">
        <f ca="1" t="shared" si="38"/>
      </c>
      <c r="BM24" s="336">
        <f ca="1" t="shared" si="38"/>
      </c>
      <c r="BN24" s="336">
        <f ca="1" t="shared" si="38"/>
      </c>
      <c r="BO24" s="336">
        <f ca="1" t="shared" si="38"/>
      </c>
      <c r="BQ24" s="340" t="s">
        <v>153</v>
      </c>
      <c r="BR24" s="340" t="s">
        <v>153</v>
      </c>
      <c r="BS24" s="340" t="s">
        <v>156</v>
      </c>
      <c r="BT24" s="153"/>
      <c r="BU24" s="340" t="s">
        <v>153</v>
      </c>
      <c r="BV24" s="340" t="s">
        <v>155</v>
      </c>
      <c r="BW24" s="340" t="s">
        <v>156</v>
      </c>
      <c r="BX24" s="153"/>
      <c r="BY24" s="340" t="s">
        <v>153</v>
      </c>
      <c r="BZ24" s="340" t="s">
        <v>155</v>
      </c>
      <c r="CA24" s="340" t="s">
        <v>156</v>
      </c>
    </row>
    <row r="25" spans="2:79" ht="13.5" customHeight="1" thickBot="1">
      <c r="B25" s="130">
        <f>IF(BR25=BS25,BR25,"Error "&amp;BQ25)</f>
      </c>
      <c r="C25" s="39">
        <f aca="true" t="shared" si="44" ref="C25:C31">IF(BQ25&gt;0,INDEX(AECourses,BQ25,2),"")</f>
      </c>
      <c r="D25" s="43">
        <f aca="true" t="shared" si="45" ref="D25:D31">IF(BQ25&gt;0,INDEX(AECourses,BQ25,3),"")</f>
      </c>
      <c r="E25" s="153">
        <f>IF(LEFT(D25,1)="a",4*C25,IF(LEFT(D25,1)="b",3*C25,IF(LEFT(D25,1)="c",2*C25,IF(LEFT(D25,1)="d",C25,IF(LEFT(D25,1)="f",0,"")))))</f>
      </c>
      <c r="F25" s="130">
        <f>IF(BV25=BW25,BV25,"Error "&amp;BU25)</f>
      </c>
      <c r="G25" s="39">
        <f aca="true" t="shared" si="46" ref="G25:G31">IF(BU25&gt;0,INDEX(AECourses,BU25,2),"")</f>
      </c>
      <c r="H25" s="43">
        <f aca="true" t="shared" si="47" ref="H25:H31">IF(BU25&gt;0,INDEX(AECourses,BU25,3),"")</f>
      </c>
      <c r="I25" s="153">
        <f>IF(LEFT(H25,1)="a",4*G25,IF(LEFT(H25,1)="b",3*G25,IF(LEFT(H25,1)="c",2*G25,IF(LEFT(H25,1)="d",G25,IF(LEFT(H25,1)="f",0,"")))))</f>
      </c>
      <c r="J25" s="130">
        <f>IF(BZ25=CA25,BZ25,"Error "&amp;BY25)</f>
      </c>
      <c r="K25" s="39">
        <f aca="true" t="shared" si="48" ref="K25:K31">IF(BY25&gt;0,INDEX(AECourses,BY25,2),"")</f>
      </c>
      <c r="L25" s="43">
        <f aca="true" t="shared" si="49" ref="L25:L31">IF(BY25&gt;0,INDEX(AECourses,BY25,3),"")</f>
      </c>
      <c r="M25" s="153">
        <f>IF(LEFT(L25,1)="a",4*K25,IF(LEFT(L25,1)="b",3*K25,IF(LEFT(L25,1)="c",2*K25,IF(LEFT(L25,1)="d",K25,IF(LEFT(L25,1)="f",0,"")))))</f>
      </c>
      <c r="O25" s="257" t="s">
        <v>258</v>
      </c>
      <c r="P25" s="258"/>
      <c r="Q25" s="258"/>
      <c r="R25" s="231"/>
      <c r="S25" s="304"/>
      <c r="T25" s="304"/>
      <c r="U25" s="304"/>
      <c r="V25" s="304"/>
      <c r="W25" s="258"/>
      <c r="X25" s="258"/>
      <c r="Y25" s="259"/>
      <c r="Z25" s="218" t="s">
        <v>55</v>
      </c>
      <c r="AD25" s="1">
        <v>25</v>
      </c>
      <c r="AE25" s="320">
        <f t="shared" si="2"/>
        <v>2000000</v>
      </c>
      <c r="AF25" s="336"/>
      <c r="AG25" s="39">
        <f t="shared" si="43"/>
        <v>0</v>
      </c>
      <c r="AH25" s="328">
        <f t="shared" si="43"/>
        <v>2</v>
      </c>
      <c r="AI25" s="320">
        <f>Q33</f>
        <v>0</v>
      </c>
      <c r="AJ25" s="294">
        <f t="shared" si="37"/>
      </c>
      <c r="AK25" s="158" t="b">
        <f>IF(OR(X33=0,X33=""),FALSE,IF(OR(LEFT(Q33,1)="T",S33/X33&gt;=2),TRUE,FALSE))</f>
        <v>0</v>
      </c>
      <c r="AL25" s="320">
        <f>IF(P33&gt;0,P33*100,1000000)+IF(LEFT(O33,2)="Sp",1,IF(LEFT(O33,2)="Su",5,IF(LEFT(O33,2)="Fa",9,1000000)))</f>
        <v>2000000</v>
      </c>
      <c r="AM25" s="322"/>
      <c r="AN25" s="108"/>
      <c r="AO25" s="37" t="b">
        <f>AND(AE25&gt;999999,AH24&gt;=3)</f>
        <v>0</v>
      </c>
      <c r="AV25" s="37" t="s">
        <v>143</v>
      </c>
      <c r="BA25" s="336">
        <f ca="1" t="shared" si="0"/>
      </c>
      <c r="BB25" s="336">
        <f ca="1" t="shared" si="14"/>
      </c>
      <c r="BC25" s="336">
        <f ca="1" t="shared" si="14"/>
      </c>
      <c r="BD25" s="336">
        <f ca="1" t="shared" si="14"/>
      </c>
      <c r="BE25" s="336">
        <f ca="1" t="shared" si="38"/>
      </c>
      <c r="BF25" s="336">
        <f ca="1" t="shared" si="38"/>
      </c>
      <c r="BG25" s="336">
        <f ca="1" t="shared" si="38"/>
      </c>
      <c r="BH25" s="336">
        <f ca="1" t="shared" si="38"/>
      </c>
      <c r="BI25" s="336">
        <f ca="1" t="shared" si="38"/>
      </c>
      <c r="BJ25" s="336">
        <f ca="1" t="shared" si="38"/>
      </c>
      <c r="BK25" s="336">
        <f ca="1" t="shared" si="38"/>
      </c>
      <c r="BL25" s="336">
        <f ca="1" t="shared" si="38"/>
      </c>
      <c r="BM25" s="336">
        <f ca="1" t="shared" si="38"/>
      </c>
      <c r="BN25" s="336">
        <f ca="1" t="shared" si="38"/>
      </c>
      <c r="BO25" s="336">
        <f ca="1" t="shared" si="38"/>
      </c>
      <c r="BQ25" s="176">
        <f aca="true" t="shared" si="50" ref="BQ25:BQ32">BD82</f>
        <v>0</v>
      </c>
      <c r="BR25" s="320">
        <f aca="true" t="shared" si="51" ref="BR25:BR32">IF(BQ25&gt;0,INDEX(AECourses,BQ25,1),"")</f>
      </c>
      <c r="BS25" s="320">
        <f aca="true" t="shared" si="52" ref="BS25:BS32">IF(BQ25&gt;0,INDEX(AECourses,BQ25,4),"")</f>
      </c>
      <c r="BT25" s="153"/>
      <c r="BU25" s="176">
        <f aca="true" t="shared" si="53" ref="BU25:BU32">BE82</f>
        <v>0</v>
      </c>
      <c r="BV25" s="320">
        <f aca="true" t="shared" si="54" ref="BV25:BV32">IF(BU25&gt;0,INDEX(AECourses,BU25,1),"")</f>
      </c>
      <c r="BW25" s="320">
        <f aca="true" t="shared" si="55" ref="BW25:BW32">IF(BU25&gt;0,INDEX(AECourses,BU25,4),"")</f>
      </c>
      <c r="BX25" s="153"/>
      <c r="BY25" s="176">
        <f aca="true" t="shared" si="56" ref="BY25:BY32">BF82</f>
        <v>0</v>
      </c>
      <c r="BZ25" s="320">
        <f aca="true" t="shared" si="57" ref="BZ25:BZ32">IF(BY25&gt;0,INDEX(AECourses,BY25,1),"")</f>
      </c>
      <c r="CA25" s="320">
        <f aca="true" t="shared" si="58" ref="CA25:CA32">IF(BY25&gt;0,INDEX(AECourses,BY25,4),"")</f>
      </c>
    </row>
    <row r="26" spans="2:79" ht="13.5" customHeight="1">
      <c r="B26" s="130">
        <f aca="true" t="shared" si="59" ref="B26:B31">IF(BR26=BS26,BR26,"Error "&amp;BQ26)</f>
      </c>
      <c r="C26" s="39">
        <f t="shared" si="44"/>
      </c>
      <c r="D26" s="43">
        <f t="shared" si="45"/>
      </c>
      <c r="E26" s="153">
        <f aca="true" t="shared" si="60" ref="E26:E31">IF(LEFT(D26,1)="a",4*C26,IF(LEFT(D26,1)="b",3*C26,IF(LEFT(D26,1)="c",2*C26,IF(LEFT(D26,1)="d",C26,IF(LEFT(D26,1)="f",0,"")))))</f>
      </c>
      <c r="F26" s="130">
        <f aca="true" t="shared" si="61" ref="F26:F31">IF(BV26=BW26,BV26,"Error "&amp;BU26)</f>
      </c>
      <c r="G26" s="39">
        <f t="shared" si="46"/>
      </c>
      <c r="H26" s="43">
        <f t="shared" si="47"/>
      </c>
      <c r="I26" s="153">
        <f aca="true" t="shared" si="62" ref="I26:I31">IF(LEFT(H26,1)="a",4*G26,IF(LEFT(H26,1)="b",3*G26,IF(LEFT(H26,1)="c",2*G26,IF(LEFT(H26,1)="d",G26,IF(LEFT(H26,1)="f",0,"")))))</f>
      </c>
      <c r="J26" s="130">
        <f aca="true" t="shared" si="63" ref="J26:J31">IF(BZ26=CA26,BZ26,"Error "&amp;BY26)</f>
      </c>
      <c r="K26" s="39">
        <f t="shared" si="48"/>
      </c>
      <c r="L26" s="43">
        <f t="shared" si="49"/>
      </c>
      <c r="M26" s="153">
        <f aca="true" t="shared" si="64" ref="M26:M31">IF(LEFT(L26,1)="a",4*K26,IF(LEFT(L26,1)="b",3*K26,IF(LEFT(L26,1)="c",2*K26,IF(LEFT(L26,1)="d",K26,IF(LEFT(L26,1)="f",0,"")))))</f>
      </c>
      <c r="O26" s="84"/>
      <c r="P26" s="85"/>
      <c r="Q26" s="95"/>
      <c r="R26" s="236" t="s">
        <v>171</v>
      </c>
      <c r="S26" s="236">
        <f aca="true" t="shared" si="65" ref="S26:S34">IF(LEFT(Q26,1)="a",4,IF(LEFT(Q26,1)="b",3,IF(LEFT(Q26,1)="c",2,IF(LEFT(Q26,1)="d",1,0))))*X26</f>
        <v>0</v>
      </c>
      <c r="T26" s="236">
        <f aca="true" t="shared" si="66" ref="T26:T43">IF(OR(S26&gt;0,LEFT(Q26,1)="f"),X26,"")</f>
      </c>
      <c r="U26" s="236">
        <f aca="true" t="shared" si="67" ref="U26:U43">IF(R26="Y",S26,"")</f>
      </c>
      <c r="V26" s="236">
        <f aca="true" t="shared" si="68" ref="V26:V43">IF(AND(R26="Y",T26&gt;0),T26,"")</f>
      </c>
      <c r="W26" s="91" t="s">
        <v>220</v>
      </c>
      <c r="X26" s="48">
        <v>3</v>
      </c>
      <c r="Y26" s="283" t="s">
        <v>244</v>
      </c>
      <c r="Z26" s="446" t="s">
        <v>259</v>
      </c>
      <c r="AD26" s="1">
        <v>26</v>
      </c>
      <c r="AE26" s="320">
        <f t="shared" si="2"/>
        <v>2000000</v>
      </c>
      <c r="AF26" s="336"/>
      <c r="AG26" s="39">
        <f t="shared" si="43"/>
        <v>0</v>
      </c>
      <c r="AH26" s="328">
        <f t="shared" si="43"/>
        <v>0</v>
      </c>
      <c r="AI26" s="320">
        <f>Q34</f>
        <v>0</v>
      </c>
      <c r="AJ26" s="294">
        <f t="shared" si="37"/>
      </c>
      <c r="AK26" s="158" t="b">
        <f>IF(OR(X34=0,X34=""),FALSE,IF(OR(LEFT(Q34,1)="T",S34/X34&gt;=2),TRUE,FALSE))</f>
        <v>0</v>
      </c>
      <c r="AL26" s="320">
        <f>IF(P34&gt;0,P34*100,1000000)+IF(LEFT(O34,2)="Sp",1,IF(LEFT(O34,2)="Su",5,IF(LEFT(O34,2)="Fa",9,1000000)))</f>
        <v>2000000</v>
      </c>
      <c r="AM26" s="322"/>
      <c r="AN26" s="108"/>
      <c r="AO26" s="37" t="b">
        <f>AND(AE26&gt;999999,SUM(AH24:AH25)&gt;=3)</f>
        <v>1</v>
      </c>
      <c r="BA26" s="336">
        <f ca="1" t="shared" si="0"/>
      </c>
      <c r="BB26" s="336">
        <f ca="1" t="shared" si="14"/>
      </c>
      <c r="BC26" s="336">
        <f ca="1" t="shared" si="14"/>
      </c>
      <c r="BD26" s="336">
        <f ca="1" t="shared" si="14"/>
      </c>
      <c r="BE26" s="336">
        <f ca="1" t="shared" si="38"/>
      </c>
      <c r="BF26" s="336">
        <f ca="1" t="shared" si="38"/>
      </c>
      <c r="BG26" s="336">
        <f ca="1" t="shared" si="38"/>
      </c>
      <c r="BH26" s="336">
        <f ca="1" t="shared" si="38"/>
      </c>
      <c r="BI26" s="336">
        <f ca="1" t="shared" si="38"/>
      </c>
      <c r="BJ26" s="336">
        <f ca="1" t="shared" si="38"/>
      </c>
      <c r="BK26" s="336">
        <f ca="1" t="shared" si="38"/>
      </c>
      <c r="BL26" s="336">
        <f ca="1" t="shared" si="38"/>
      </c>
      <c r="BM26" s="336">
        <f ca="1" t="shared" si="38"/>
      </c>
      <c r="BN26" s="336">
        <f ca="1" t="shared" si="38"/>
      </c>
      <c r="BO26" s="336">
        <f ca="1" t="shared" si="38"/>
      </c>
      <c r="BQ26" s="178">
        <f t="shared" si="50"/>
        <v>0</v>
      </c>
      <c r="BR26" s="320">
        <f t="shared" si="51"/>
      </c>
      <c r="BS26" s="320">
        <f t="shared" si="52"/>
      </c>
      <c r="BT26" s="153"/>
      <c r="BU26" s="178">
        <f t="shared" si="53"/>
        <v>0</v>
      </c>
      <c r="BV26" s="320">
        <f t="shared" si="54"/>
      </c>
      <c r="BW26" s="320">
        <f t="shared" si="55"/>
      </c>
      <c r="BX26" s="153"/>
      <c r="BY26" s="178">
        <f t="shared" si="56"/>
        <v>0</v>
      </c>
      <c r="BZ26" s="320">
        <f t="shared" si="57"/>
      </c>
      <c r="CA26" s="320">
        <f t="shared" si="58"/>
      </c>
    </row>
    <row r="27" spans="2:79" ht="13.5" customHeight="1">
      <c r="B27" s="130">
        <f t="shared" si="59"/>
      </c>
      <c r="C27" s="39">
        <f t="shared" si="44"/>
      </c>
      <c r="D27" s="43">
        <f t="shared" si="45"/>
      </c>
      <c r="E27" s="153">
        <f t="shared" si="60"/>
      </c>
      <c r="F27" s="130">
        <f t="shared" si="61"/>
      </c>
      <c r="G27" s="39">
        <f t="shared" si="46"/>
      </c>
      <c r="H27" s="43">
        <f t="shared" si="47"/>
      </c>
      <c r="I27" s="153">
        <f t="shared" si="62"/>
      </c>
      <c r="J27" s="130">
        <f t="shared" si="63"/>
      </c>
      <c r="K27" s="39">
        <f t="shared" si="48"/>
      </c>
      <c r="L27" s="43">
        <f t="shared" si="49"/>
      </c>
      <c r="M27" s="153">
        <f t="shared" si="64"/>
      </c>
      <c r="O27" s="69"/>
      <c r="P27" s="78"/>
      <c r="Q27" s="97"/>
      <c r="R27" s="238" t="s">
        <v>171</v>
      </c>
      <c r="S27" s="238">
        <f t="shared" si="65"/>
        <v>0</v>
      </c>
      <c r="T27" s="238">
        <f t="shared" si="66"/>
      </c>
      <c r="U27" s="238">
        <f t="shared" si="67"/>
      </c>
      <c r="V27" s="238">
        <f t="shared" si="68"/>
      </c>
      <c r="W27" s="92" t="s">
        <v>224</v>
      </c>
      <c r="X27" s="7">
        <v>3</v>
      </c>
      <c r="Y27" s="265" t="s">
        <v>221</v>
      </c>
      <c r="Z27" s="447"/>
      <c r="AD27" s="1">
        <v>27</v>
      </c>
      <c r="AE27" s="320">
        <f t="shared" si="2"/>
        <v>2000000</v>
      </c>
      <c r="AF27" s="336"/>
      <c r="AG27" s="39" t="str">
        <f aca="true" t="shared" si="69" ref="AG27:AH29">W36</f>
        <v>MAE 110</v>
      </c>
      <c r="AH27" s="329">
        <f t="shared" si="69"/>
        <v>3</v>
      </c>
      <c r="AI27" s="330">
        <f>Q36</f>
        <v>0</v>
      </c>
      <c r="AJ27" s="312">
        <f>IF(AN27="y",AG27,IF(AE27=10101,AG27,IF(AE27&gt;999999,"",IF(AE27&gt;201306,"ERROR Course no longer offered",IF(AND(AE27&lt;AE58,AE58&lt;999999),"PREREQ ERROR_MA 112",AG27)))))</f>
      </c>
      <c r="AK27" s="295" t="b">
        <f>IF(OR(LEFT(Q36,1)="T",S36/X36&gt;=2),TRUE,FALSE)</f>
        <v>0</v>
      </c>
      <c r="AL27" s="330">
        <f>IF(P36&gt;0,P36*100,1000000)+IF(LEFT(O36,2)="Sp",1,IF(LEFT(O36,2)="Su",5,IF(LEFT(O36,2)="Fa",9,1000000)))</f>
        <v>2000000</v>
      </c>
      <c r="AM27" s="322"/>
      <c r="AN27" s="108"/>
      <c r="AO27" s="37" t="b">
        <f>AE27&gt;999999</f>
        <v>1</v>
      </c>
      <c r="BA27" s="336">
        <f ca="1" t="shared" si="0"/>
      </c>
      <c r="BB27" s="336">
        <f ca="1" t="shared" si="14"/>
      </c>
      <c r="BC27" s="336">
        <f ca="1" t="shared" si="14"/>
      </c>
      <c r="BD27" s="336">
        <f ca="1" t="shared" si="14"/>
      </c>
      <c r="BE27" s="336">
        <f ca="1" t="shared" si="38"/>
      </c>
      <c r="BF27" s="336">
        <f ca="1" t="shared" si="38"/>
      </c>
      <c r="BG27" s="336">
        <f ca="1" t="shared" si="38"/>
      </c>
      <c r="BH27" s="336">
        <f ca="1" t="shared" si="38"/>
      </c>
      <c r="BI27" s="336">
        <f ca="1" t="shared" si="38"/>
      </c>
      <c r="BJ27" s="336">
        <f ca="1" t="shared" si="38"/>
      </c>
      <c r="BK27" s="336">
        <f ca="1" t="shared" si="38"/>
      </c>
      <c r="BL27" s="336">
        <f ca="1" t="shared" si="38"/>
      </c>
      <c r="BM27" s="336">
        <f ca="1" t="shared" si="38"/>
      </c>
      <c r="BN27" s="336">
        <f ca="1" t="shared" si="38"/>
      </c>
      <c r="BO27" s="336">
        <f ca="1" t="shared" si="38"/>
      </c>
      <c r="BQ27" s="178">
        <f t="shared" si="50"/>
        <v>0</v>
      </c>
      <c r="BR27" s="320">
        <f t="shared" si="51"/>
      </c>
      <c r="BS27" s="320">
        <f t="shared" si="52"/>
      </c>
      <c r="BT27" s="153"/>
      <c r="BU27" s="178">
        <f t="shared" si="53"/>
        <v>0</v>
      </c>
      <c r="BV27" s="320">
        <f t="shared" si="54"/>
      </c>
      <c r="BW27" s="320">
        <f t="shared" si="55"/>
      </c>
      <c r="BX27" s="153"/>
      <c r="BY27" s="178">
        <f t="shared" si="56"/>
        <v>0</v>
      </c>
      <c r="BZ27" s="320">
        <f t="shared" si="57"/>
      </c>
      <c r="CA27" s="320">
        <f t="shared" si="58"/>
      </c>
    </row>
    <row r="28" spans="2:79" ht="13.5" customHeight="1">
      <c r="B28" s="130">
        <f t="shared" si="59"/>
      </c>
      <c r="C28" s="39">
        <f t="shared" si="44"/>
      </c>
      <c r="D28" s="43">
        <f t="shared" si="45"/>
      </c>
      <c r="E28" s="153">
        <f t="shared" si="60"/>
      </c>
      <c r="F28" s="130">
        <f t="shared" si="61"/>
      </c>
      <c r="G28" s="39">
        <f t="shared" si="46"/>
      </c>
      <c r="H28" s="43">
        <f t="shared" si="47"/>
      </c>
      <c r="I28" s="153">
        <f t="shared" si="62"/>
      </c>
      <c r="J28" s="130">
        <f t="shared" si="63"/>
      </c>
      <c r="K28" s="39">
        <f t="shared" si="48"/>
      </c>
      <c r="L28" s="43">
        <f t="shared" si="49"/>
      </c>
      <c r="M28" s="153">
        <f t="shared" si="64"/>
      </c>
      <c r="O28" s="127"/>
      <c r="P28" s="279"/>
      <c r="Q28" s="228"/>
      <c r="R28" s="239" t="s">
        <v>171</v>
      </c>
      <c r="S28" s="239">
        <f t="shared" si="65"/>
        <v>0</v>
      </c>
      <c r="T28" s="239">
        <f t="shared" si="66"/>
      </c>
      <c r="U28" s="239">
        <f t="shared" si="67"/>
      </c>
      <c r="V28" s="239">
        <f t="shared" si="68"/>
      </c>
      <c r="W28" s="284"/>
      <c r="X28" s="53">
        <v>3</v>
      </c>
      <c r="Y28" s="286" t="s">
        <v>223</v>
      </c>
      <c r="Z28" s="444" t="s">
        <v>260</v>
      </c>
      <c r="AD28" s="1">
        <v>28</v>
      </c>
      <c r="AE28" s="320">
        <f t="shared" si="2"/>
        <v>2000000</v>
      </c>
      <c r="AF28" s="336"/>
      <c r="AG28" s="39" t="str">
        <f t="shared" si="69"/>
        <v>MAE 285</v>
      </c>
      <c r="AH28" s="328">
        <f t="shared" si="69"/>
        <v>3</v>
      </c>
      <c r="AI28" s="320">
        <f>Q37</f>
        <v>0</v>
      </c>
      <c r="AJ28" s="294">
        <f>IF(AN28="y",AG28,IF(AE28=10101,AG28,IF(AE28&gt;999999,"",IF(AE28&gt;201306,"ERROR Course no longer offered",IF(AE28&lt;=AE4,"PREREQ ERROR_MA 171",AG28)))))</f>
      </c>
      <c r="AK28" s="158" t="b">
        <f>IF(OR(LEFT(Q37,1)="T",S37/X37&gt;=2),TRUE,FALSE)</f>
        <v>0</v>
      </c>
      <c r="AL28" s="320">
        <f>IF(P37&gt;0,P37*100,1000000)+IF(LEFT(O37,2)="Sp",1,IF(LEFT(O37,2)="Su",5,IF(LEFT(O37,2)="Fa",9,1000000)))</f>
        <v>2000000</v>
      </c>
      <c r="AM28" s="322"/>
      <c r="AN28" s="108"/>
      <c r="AO28" s="37" t="b">
        <f>AE28&gt;999999</f>
        <v>1</v>
      </c>
      <c r="BA28" s="336">
        <f ca="1" t="shared" si="0"/>
      </c>
      <c r="BB28" s="336">
        <f ca="1" t="shared" si="14"/>
      </c>
      <c r="BC28" s="336">
        <f ca="1" t="shared" si="14"/>
      </c>
      <c r="BD28" s="336">
        <f ca="1" t="shared" si="14"/>
      </c>
      <c r="BE28" s="336">
        <f ca="1" t="shared" si="38"/>
      </c>
      <c r="BF28" s="336">
        <f ca="1" t="shared" si="38"/>
      </c>
      <c r="BG28" s="336">
        <f ca="1" t="shared" si="38"/>
      </c>
      <c r="BH28" s="336">
        <f ca="1" t="shared" si="38"/>
      </c>
      <c r="BI28" s="336">
        <f ca="1" t="shared" si="38"/>
      </c>
      <c r="BJ28" s="336">
        <f ca="1" t="shared" si="38"/>
      </c>
      <c r="BK28" s="336">
        <f ca="1" t="shared" si="38"/>
      </c>
      <c r="BL28" s="336">
        <f ca="1" t="shared" si="38"/>
      </c>
      <c r="BM28" s="336">
        <f ca="1" t="shared" si="38"/>
      </c>
      <c r="BN28" s="336">
        <f ca="1" t="shared" si="38"/>
      </c>
      <c r="BO28" s="336">
        <f ca="1" t="shared" si="38"/>
      </c>
      <c r="BQ28" s="178">
        <f t="shared" si="50"/>
        <v>0</v>
      </c>
      <c r="BR28" s="320">
        <f t="shared" si="51"/>
      </c>
      <c r="BS28" s="320">
        <f t="shared" si="52"/>
      </c>
      <c r="BT28" s="153"/>
      <c r="BU28" s="178">
        <f t="shared" si="53"/>
        <v>0</v>
      </c>
      <c r="BV28" s="320">
        <f t="shared" si="54"/>
      </c>
      <c r="BW28" s="320">
        <f t="shared" si="55"/>
      </c>
      <c r="BX28" s="153"/>
      <c r="BY28" s="178">
        <f t="shared" si="56"/>
        <v>0</v>
      </c>
      <c r="BZ28" s="320">
        <f t="shared" si="57"/>
      </c>
      <c r="CA28" s="320">
        <f t="shared" si="58"/>
      </c>
    </row>
    <row r="29" spans="2:79" ht="13.5" customHeight="1">
      <c r="B29" s="130">
        <f t="shared" si="59"/>
      </c>
      <c r="C29" s="39">
        <f t="shared" si="44"/>
      </c>
      <c r="D29" s="43">
        <f t="shared" si="45"/>
      </c>
      <c r="E29" s="153">
        <f t="shared" si="60"/>
      </c>
      <c r="F29" s="130">
        <f t="shared" si="61"/>
      </c>
      <c r="G29" s="39">
        <f t="shared" si="46"/>
      </c>
      <c r="H29" s="43">
        <f t="shared" si="47"/>
      </c>
      <c r="I29" s="153">
        <f t="shared" si="62"/>
      </c>
      <c r="J29" s="130">
        <f t="shared" si="63"/>
      </c>
      <c r="K29" s="39">
        <f t="shared" si="48"/>
      </c>
      <c r="L29" s="43">
        <f t="shared" si="49"/>
      </c>
      <c r="M29" s="153">
        <f t="shared" si="64"/>
      </c>
      <c r="O29" s="69"/>
      <c r="P29" s="78"/>
      <c r="Q29" s="97"/>
      <c r="R29" s="238" t="s">
        <v>171</v>
      </c>
      <c r="S29" s="238">
        <f t="shared" si="65"/>
        <v>0</v>
      </c>
      <c r="T29" s="238">
        <f t="shared" si="66"/>
      </c>
      <c r="U29" s="238">
        <f t="shared" si="67"/>
      </c>
      <c r="V29" s="238">
        <f t="shared" si="68"/>
      </c>
      <c r="W29" s="92"/>
      <c r="X29" s="7">
        <v>3</v>
      </c>
      <c r="Y29" s="286" t="s">
        <v>223</v>
      </c>
      <c r="Z29" s="444"/>
      <c r="AD29" s="1">
        <v>29</v>
      </c>
      <c r="AE29" s="320">
        <f t="shared" si="2"/>
        <v>2000000</v>
      </c>
      <c r="AF29" s="336"/>
      <c r="AG29" s="39" t="str">
        <f t="shared" si="69"/>
        <v>MAE 385</v>
      </c>
      <c r="AH29" s="328">
        <f t="shared" si="69"/>
        <v>2</v>
      </c>
      <c r="AI29" s="320">
        <f>Q38</f>
        <v>0</v>
      </c>
      <c r="AJ29" s="294">
        <f>IF(AN29="y",AG29,IF(AE29=10101,AG29,IF(AE29&gt;999999,"",IF(AE29&gt;201401,"ERROR Course no longer offered",IF(AE29&lt;=AE28,"PREREQ ERROR_MAE 285",IF(AE29&lt;AE7,"PREREQ w/Con ERROR_MA 238",AG29))))))</f>
      </c>
      <c r="AK29" s="158" t="b">
        <f>IF(OR(LEFT(Q38,1)="T",S38/X38&gt;=2),TRUE,FALSE)</f>
        <v>0</v>
      </c>
      <c r="AL29" s="320">
        <f>IF(P38&gt;0,P38*100,1000000)+IF(LEFT(O38,2)="Sp",1,IF(LEFT(O38,2)="Su",5,IF(LEFT(O38,2)="Fa",9,1000000)))</f>
        <v>2000000</v>
      </c>
      <c r="AM29" s="322"/>
      <c r="AN29" s="108"/>
      <c r="AO29" s="37" t="b">
        <f>AE29&gt;999999</f>
        <v>1</v>
      </c>
      <c r="BA29" s="336">
        <f ca="1" t="shared" si="0"/>
      </c>
      <c r="BB29" s="336">
        <f ca="1" t="shared" si="14"/>
      </c>
      <c r="BC29" s="336">
        <f ca="1" t="shared" si="14"/>
      </c>
      <c r="BD29" s="336">
        <f ca="1" t="shared" si="14"/>
      </c>
      <c r="BE29" s="336">
        <f ca="1" t="shared" si="38"/>
      </c>
      <c r="BF29" s="336">
        <f ca="1" t="shared" si="38"/>
      </c>
      <c r="BG29" s="336">
        <f ca="1" t="shared" si="38"/>
      </c>
      <c r="BH29" s="336">
        <f ca="1" t="shared" si="38"/>
      </c>
      <c r="BI29" s="336">
        <f ca="1" t="shared" si="38"/>
      </c>
      <c r="BJ29" s="336">
        <f ca="1" t="shared" si="38"/>
      </c>
      <c r="BK29" s="336">
        <f ca="1" t="shared" si="38"/>
      </c>
      <c r="BL29" s="336">
        <f ca="1" t="shared" si="38"/>
      </c>
      <c r="BM29" s="336">
        <f ca="1" t="shared" si="38"/>
      </c>
      <c r="BN29" s="336">
        <f ca="1" t="shared" si="38"/>
      </c>
      <c r="BO29" s="336">
        <f ca="1" t="shared" si="38"/>
      </c>
      <c r="BQ29" s="178">
        <f t="shared" si="50"/>
        <v>0</v>
      </c>
      <c r="BR29" s="320">
        <f t="shared" si="51"/>
      </c>
      <c r="BS29" s="320">
        <f t="shared" si="52"/>
      </c>
      <c r="BT29" s="153"/>
      <c r="BU29" s="178">
        <f t="shared" si="53"/>
        <v>0</v>
      </c>
      <c r="BV29" s="320">
        <f t="shared" si="54"/>
      </c>
      <c r="BW29" s="320">
        <f t="shared" si="55"/>
      </c>
      <c r="BX29" s="153"/>
      <c r="BY29" s="178">
        <f t="shared" si="56"/>
        <v>0</v>
      </c>
      <c r="BZ29" s="320">
        <f t="shared" si="57"/>
      </c>
      <c r="CA29" s="320">
        <f t="shared" si="58"/>
      </c>
    </row>
    <row r="30" spans="2:79" ht="13.5" customHeight="1" thickBot="1">
      <c r="B30" s="130">
        <f t="shared" si="59"/>
      </c>
      <c r="C30" s="39">
        <f t="shared" si="44"/>
      </c>
      <c r="D30" s="43">
        <f t="shared" si="45"/>
      </c>
      <c r="E30" s="153">
        <f t="shared" si="60"/>
      </c>
      <c r="F30" s="130">
        <f t="shared" si="61"/>
      </c>
      <c r="G30" s="39">
        <f t="shared" si="46"/>
      </c>
      <c r="H30" s="43">
        <f t="shared" si="47"/>
      </c>
      <c r="I30" s="153">
        <f t="shared" si="62"/>
      </c>
      <c r="J30" s="130">
        <f t="shared" si="63"/>
      </c>
      <c r="K30" s="39">
        <f t="shared" si="48"/>
      </c>
      <c r="L30" s="43">
        <f t="shared" si="49"/>
      </c>
      <c r="M30" s="153">
        <f t="shared" si="64"/>
      </c>
      <c r="O30" s="161"/>
      <c r="P30" s="70"/>
      <c r="Q30" s="229"/>
      <c r="R30" s="241" t="s">
        <v>171</v>
      </c>
      <c r="S30" s="241">
        <f t="shared" si="65"/>
        <v>0</v>
      </c>
      <c r="T30" s="241">
        <f t="shared" si="66"/>
      </c>
      <c r="U30" s="241">
        <f t="shared" si="67"/>
      </c>
      <c r="V30" s="241">
        <f t="shared" si="68"/>
      </c>
      <c r="W30" s="162"/>
      <c r="X30" s="273">
        <v>3</v>
      </c>
      <c r="Y30" s="286" t="s">
        <v>223</v>
      </c>
      <c r="Z30" s="445"/>
      <c r="AD30" s="1">
        <v>30</v>
      </c>
      <c r="AE30" s="320">
        <f t="shared" si="2"/>
        <v>2000000</v>
      </c>
      <c r="AF30" s="336"/>
      <c r="AG30" s="39" t="str">
        <f aca="true" t="shared" si="70" ref="AG30:AH33">W40</f>
        <v>MAE 271</v>
      </c>
      <c r="AH30" s="329">
        <f t="shared" si="70"/>
        <v>3</v>
      </c>
      <c r="AI30" s="330">
        <f>Q40</f>
        <v>0</v>
      </c>
      <c r="AJ30" s="294">
        <f>IF(AN30="y",AG30,IF(AE30=10101,AG30,IF(AE30&gt;999999,"",IF(AE30&lt;=AE11,"PREREQ ERROR_PH 111",IF(AE30&lt;AE6,"PREREQ w/Con ERROR_MA 201",AG30)))))</f>
      </c>
      <c r="AK30" s="295" t="b">
        <f>IF(OR(LEFT(Q40,1)="T",S40/X40&gt;=2),TRUE,FALSE)</f>
        <v>0</v>
      </c>
      <c r="AL30" s="330">
        <f>IF(P40&gt;0,P40*100,1000000)+IF(LEFT(O40,2)="Sp",1,IF(LEFT(O40,2)="Su",5,IF(LEFT(O40,2)="Fa",9,1000000)))</f>
        <v>2000000</v>
      </c>
      <c r="AM30" s="322"/>
      <c r="AN30" s="108"/>
      <c r="AO30" s="37"/>
      <c r="BA30" s="336">
        <f ca="1" t="shared" si="0"/>
      </c>
      <c r="BB30" s="336">
        <f ca="1" t="shared" si="14"/>
      </c>
      <c r="BC30" s="336">
        <f ca="1" t="shared" si="14"/>
      </c>
      <c r="BD30" s="336">
        <f ca="1" t="shared" si="14"/>
      </c>
      <c r="BE30" s="336">
        <f aca="true" ca="1" t="shared" si="71" ref="BE30:BO39">IF($AE30=BE$1,CELL("row",$AE30),"")</f>
      </c>
      <c r="BF30" s="336">
        <f ca="1" t="shared" si="71"/>
      </c>
      <c r="BG30" s="336">
        <f ca="1" t="shared" si="71"/>
      </c>
      <c r="BH30" s="336">
        <f ca="1" t="shared" si="71"/>
      </c>
      <c r="BI30" s="336">
        <f ca="1" t="shared" si="71"/>
      </c>
      <c r="BJ30" s="336">
        <f ca="1" t="shared" si="71"/>
      </c>
      <c r="BK30" s="336">
        <f ca="1" t="shared" si="71"/>
      </c>
      <c r="BL30" s="336">
        <f ca="1" t="shared" si="71"/>
      </c>
      <c r="BM30" s="336">
        <f ca="1" t="shared" si="71"/>
      </c>
      <c r="BN30" s="336">
        <f ca="1" t="shared" si="71"/>
      </c>
      <c r="BO30" s="336">
        <f ca="1" t="shared" si="71"/>
      </c>
      <c r="BQ30" s="178">
        <f t="shared" si="50"/>
        <v>0</v>
      </c>
      <c r="BR30" s="320">
        <f t="shared" si="51"/>
      </c>
      <c r="BS30" s="320">
        <f t="shared" si="52"/>
      </c>
      <c r="BT30" s="153"/>
      <c r="BU30" s="178">
        <f t="shared" si="53"/>
        <v>0</v>
      </c>
      <c r="BV30" s="320">
        <f t="shared" si="54"/>
      </c>
      <c r="BW30" s="320">
        <f t="shared" si="55"/>
      </c>
      <c r="BX30" s="153"/>
      <c r="BY30" s="178">
        <f t="shared" si="56"/>
        <v>0</v>
      </c>
      <c r="BZ30" s="320">
        <f t="shared" si="57"/>
      </c>
      <c r="CA30" s="320">
        <f t="shared" si="58"/>
      </c>
    </row>
    <row r="31" spans="2:79" ht="13.5" customHeight="1" thickBot="1">
      <c r="B31" s="369">
        <f t="shared" si="59"/>
      </c>
      <c r="C31" s="370">
        <f t="shared" si="44"/>
      </c>
      <c r="D31" s="371">
        <f t="shared" si="45"/>
      </c>
      <c r="E31" s="153">
        <f t="shared" si="60"/>
      </c>
      <c r="F31" s="369">
        <f t="shared" si="61"/>
      </c>
      <c r="G31" s="370">
        <f t="shared" si="46"/>
      </c>
      <c r="H31" s="371">
        <f t="shared" si="47"/>
      </c>
      <c r="I31" s="153">
        <f t="shared" si="62"/>
      </c>
      <c r="J31" s="369">
        <f t="shared" si="63"/>
      </c>
      <c r="K31" s="370">
        <f t="shared" si="48"/>
      </c>
      <c r="L31" s="371">
        <f t="shared" si="49"/>
      </c>
      <c r="M31" s="153">
        <f t="shared" si="64"/>
      </c>
      <c r="O31" s="357" t="s">
        <v>256</v>
      </c>
      <c r="P31" s="358"/>
      <c r="Q31" s="358"/>
      <c r="R31" s="359"/>
      <c r="S31" s="360"/>
      <c r="T31" s="360"/>
      <c r="U31" s="360"/>
      <c r="V31" s="360"/>
      <c r="W31" s="358"/>
      <c r="X31" s="358"/>
      <c r="Y31" s="361"/>
      <c r="Z31" s="268"/>
      <c r="AD31" s="1">
        <v>31</v>
      </c>
      <c r="AE31" s="320">
        <f t="shared" si="2"/>
        <v>2000000</v>
      </c>
      <c r="AF31" s="336"/>
      <c r="AG31" s="39" t="str">
        <f t="shared" si="70"/>
        <v>MAE 341</v>
      </c>
      <c r="AH31" s="328">
        <f t="shared" si="70"/>
        <v>3</v>
      </c>
      <c r="AI31" s="320">
        <f>Q41</f>
        <v>0</v>
      </c>
      <c r="AJ31" s="294">
        <f>IF(AN31="y",AG31,IF(AE31=10101,AG31,IF(AE31&gt;999999,"",IF(AE31&lt;=AE9,"PREREQ ERROR_CH 121",IF(AE31&lt;=AE10,"PREREQ ERROR_CH 125",IF(AE31&lt;=AE13,"PREREQ ERROR_PH 112",IF(AE31&lt;=AE6,"PREREQ ERROR_MA 201",AG31)))))))</f>
      </c>
      <c r="AK31" s="158" t="b">
        <f>IF(OR(LEFT(Q41,1)="T",S41/X41&gt;=2),TRUE,FALSE)</f>
        <v>0</v>
      </c>
      <c r="AL31" s="320">
        <f>IF(P41&gt;0,P41*100,1000000)+IF(LEFT(O41,2)="Sp",1,IF(LEFT(O41,2)="Su",5,IF(LEFT(O41,2)="Fa",9,1000000)))</f>
        <v>2000000</v>
      </c>
      <c r="AM31" s="321"/>
      <c r="AN31" s="108"/>
      <c r="AO31" s="37"/>
      <c r="BA31" s="336">
        <f ca="1" t="shared" si="0"/>
      </c>
      <c r="BB31" s="336">
        <f aca="true" ca="1" t="shared" si="72" ref="BB31:BD46">IF($AE31=BB$1,CELL("row",$AE31),"")</f>
      </c>
      <c r="BC31" s="336">
        <f ca="1" t="shared" si="72"/>
      </c>
      <c r="BD31" s="336">
        <f ca="1" t="shared" si="72"/>
      </c>
      <c r="BE31" s="336">
        <f ca="1" t="shared" si="71"/>
      </c>
      <c r="BF31" s="336">
        <f ca="1" t="shared" si="71"/>
      </c>
      <c r="BG31" s="336">
        <f ca="1" t="shared" si="71"/>
      </c>
      <c r="BH31" s="336">
        <f ca="1" t="shared" si="71"/>
      </c>
      <c r="BI31" s="336">
        <f ca="1" t="shared" si="71"/>
      </c>
      <c r="BJ31" s="336">
        <f ca="1" t="shared" si="71"/>
      </c>
      <c r="BK31" s="336">
        <f ca="1" t="shared" si="71"/>
      </c>
      <c r="BL31" s="336">
        <f ca="1" t="shared" si="71"/>
      </c>
      <c r="BM31" s="336">
        <f ca="1" t="shared" si="71"/>
      </c>
      <c r="BN31" s="336">
        <f ca="1" t="shared" si="71"/>
      </c>
      <c r="BO31" s="336">
        <f ca="1" t="shared" si="71"/>
      </c>
      <c r="BQ31" s="178">
        <f t="shared" si="50"/>
        <v>0</v>
      </c>
      <c r="BR31" s="320">
        <f t="shared" si="51"/>
      </c>
      <c r="BS31" s="320">
        <f t="shared" si="52"/>
      </c>
      <c r="BT31" s="153"/>
      <c r="BU31" s="178">
        <f t="shared" si="53"/>
        <v>0</v>
      </c>
      <c r="BV31" s="320">
        <f t="shared" si="54"/>
      </c>
      <c r="BW31" s="320">
        <f t="shared" si="55"/>
      </c>
      <c r="BX31" s="153"/>
      <c r="BY31" s="178">
        <f t="shared" si="56"/>
        <v>0</v>
      </c>
      <c r="BZ31" s="320">
        <f t="shared" si="57"/>
      </c>
      <c r="CA31" s="320">
        <f t="shared" si="58"/>
      </c>
    </row>
    <row r="32" spans="2:79" ht="13.5" customHeight="1" thickBot="1" thickTop="1">
      <c r="B32" s="372">
        <f>IF(BQ32&lt;&gt;0,"Excess "&amp;BQ32,"")</f>
      </c>
      <c r="C32" s="373">
        <f>SUM(C25:C31)</f>
        <v>0</v>
      </c>
      <c r="D32" s="374"/>
      <c r="E32" s="153"/>
      <c r="F32" s="372">
        <f>IF(BU32&lt;&gt;0,"Excess "&amp;BU32,"")</f>
      </c>
      <c r="G32" s="373">
        <f>SUM(G25:G31)</f>
        <v>0</v>
      </c>
      <c r="H32" s="374"/>
      <c r="I32" s="153"/>
      <c r="J32" s="372">
        <f>IF(BY32&lt;&gt;0,"Excess "&amp;BY32,"")</f>
      </c>
      <c r="K32" s="373">
        <f>SUM(K25:K31)</f>
        <v>0</v>
      </c>
      <c r="L32" s="374"/>
      <c r="M32" s="153"/>
      <c r="O32" s="69"/>
      <c r="P32" s="78"/>
      <c r="Q32" s="97"/>
      <c r="R32" s="97" t="s">
        <v>171</v>
      </c>
      <c r="S32" s="238">
        <f t="shared" si="65"/>
        <v>0</v>
      </c>
      <c r="T32" s="238">
        <f t="shared" si="66"/>
      </c>
      <c r="U32" s="238">
        <f t="shared" si="67"/>
      </c>
      <c r="V32" s="238">
        <f t="shared" si="68"/>
      </c>
      <c r="W32" s="92" t="s">
        <v>257</v>
      </c>
      <c r="X32" s="269">
        <v>1</v>
      </c>
      <c r="Y32" s="285" t="s">
        <v>222</v>
      </c>
      <c r="Z32" s="426" t="s">
        <v>290</v>
      </c>
      <c r="AD32" s="1">
        <v>32</v>
      </c>
      <c r="AE32" s="320">
        <f t="shared" si="2"/>
        <v>2000000</v>
      </c>
      <c r="AF32" s="336"/>
      <c r="AG32" s="39" t="str">
        <f t="shared" si="70"/>
        <v>EE 213</v>
      </c>
      <c r="AH32" s="328">
        <f t="shared" si="70"/>
        <v>3</v>
      </c>
      <c r="AI32" s="320">
        <f>Q42</f>
        <v>0</v>
      </c>
      <c r="AJ32" s="294">
        <f>IF(AN32="y",AG32,IF(AE32=10101,AG32,IF(AE32&gt;999999,"",IF(AE32&lt;=AE13,"PREREQ ERROR_PH 112",IF(NOT(OR(AND(AE32&gt;=AE28,AE28&lt;999999),AND(AE32&gt;=AE8,AE8&lt;999999),AND(AE32&gt;=AE65,AE65&lt;999999))),"PREREQ w/Con ERROR_MAE 285 or MA 244 or CHE 244",IF(AE32&lt;AE7,"PREREQ w/Con ERROR_MA 238",AG32))))))</f>
      </c>
      <c r="AK32" s="158" t="b">
        <f>IF(OR(LEFT(Q42,1)="T",S42/X42&gt;=2),TRUE,FALSE)</f>
        <v>0</v>
      </c>
      <c r="AL32" s="320">
        <f>IF(P42&gt;0,P42*100,1000000)+IF(LEFT(O42,2)="Sp",1,IF(LEFT(O42,2)="Su",5,IF(LEFT(O42,2)="Fa",9,1000000)))</f>
        <v>2000000</v>
      </c>
      <c r="AM32" s="321"/>
      <c r="AN32" s="108"/>
      <c r="AO32" s="37"/>
      <c r="BA32" s="336">
        <f ca="1" t="shared" si="0"/>
      </c>
      <c r="BB32" s="336">
        <f ca="1" t="shared" si="72"/>
      </c>
      <c r="BC32" s="336">
        <f ca="1" t="shared" si="72"/>
      </c>
      <c r="BD32" s="336">
        <f ca="1" t="shared" si="72"/>
      </c>
      <c r="BE32" s="336">
        <f ca="1" t="shared" si="71"/>
      </c>
      <c r="BF32" s="336">
        <f ca="1" t="shared" si="71"/>
      </c>
      <c r="BG32" s="336">
        <f ca="1" t="shared" si="71"/>
      </c>
      <c r="BH32" s="336">
        <f ca="1" t="shared" si="71"/>
      </c>
      <c r="BI32" s="336">
        <f ca="1" t="shared" si="71"/>
      </c>
      <c r="BJ32" s="336">
        <f ca="1" t="shared" si="71"/>
      </c>
      <c r="BK32" s="336">
        <f ca="1" t="shared" si="71"/>
      </c>
      <c r="BL32" s="336">
        <f ca="1" t="shared" si="71"/>
      </c>
      <c r="BM32" s="336">
        <f ca="1" t="shared" si="71"/>
      </c>
      <c r="BN32" s="336">
        <f ca="1" t="shared" si="71"/>
      </c>
      <c r="BO32" s="336">
        <f ca="1" t="shared" si="71"/>
      </c>
      <c r="BQ32" s="178">
        <f t="shared" si="50"/>
        <v>0</v>
      </c>
      <c r="BR32" s="320">
        <f t="shared" si="51"/>
      </c>
      <c r="BS32" s="320">
        <f t="shared" si="52"/>
      </c>
      <c r="BT32" s="153"/>
      <c r="BU32" s="178">
        <f t="shared" si="53"/>
        <v>0</v>
      </c>
      <c r="BV32" s="320">
        <f t="shared" si="54"/>
      </c>
      <c r="BW32" s="320">
        <f t="shared" si="55"/>
      </c>
      <c r="BX32" s="153"/>
      <c r="BY32" s="178">
        <f t="shared" si="56"/>
        <v>0</v>
      </c>
      <c r="BZ32" s="320">
        <f t="shared" si="57"/>
      </c>
      <c r="CA32" s="320">
        <f t="shared" si="58"/>
      </c>
    </row>
    <row r="33" spans="2:77" ht="13.5" customHeight="1">
      <c r="B33" s="138"/>
      <c r="C33" s="152" t="s">
        <v>137</v>
      </c>
      <c r="D33" s="154">
        <f>IF(SUMIF(E25:E31,"&gt;=0",C25:C31)&gt;0,SUM(E25:E31)/SUMIF(E25:E31,"&gt;=0",C25:C31),"")</f>
      </c>
      <c r="E33" s="153"/>
      <c r="F33" s="139"/>
      <c r="G33" s="152" t="s">
        <v>137</v>
      </c>
      <c r="H33" s="154">
        <f>IF(SUMIF(I25:I31,"&gt;=0",G25:G31)&gt;0,SUM(I25:I31)/SUMIF(I25:I31,"&gt;=0",G25:G31),"")</f>
      </c>
      <c r="I33" s="153"/>
      <c r="J33" s="139"/>
      <c r="K33" s="152" t="s">
        <v>137</v>
      </c>
      <c r="L33" s="154">
        <f>IF(SUMIF(M25:M31,"&gt;=0",K25:K31)&gt;0,SUM(M25:M31)/SUMIF(M25:M31,"&gt;=0",K25:K31),"")</f>
      </c>
      <c r="M33" s="153"/>
      <c r="O33" s="127"/>
      <c r="P33" s="279"/>
      <c r="Q33" s="228"/>
      <c r="R33" s="228" t="s">
        <v>171</v>
      </c>
      <c r="S33" s="239">
        <f t="shared" si="65"/>
        <v>0</v>
      </c>
      <c r="T33" s="239">
        <f t="shared" si="66"/>
      </c>
      <c r="U33" s="239">
        <f t="shared" si="67"/>
      </c>
      <c r="V33" s="239">
        <f t="shared" si="68"/>
      </c>
      <c r="W33" s="284"/>
      <c r="X33" s="366">
        <v>2</v>
      </c>
      <c r="Y33" s="367" t="s">
        <v>222</v>
      </c>
      <c r="Z33" s="427"/>
      <c r="AD33" s="1">
        <v>33</v>
      </c>
      <c r="AE33" s="320">
        <f t="shared" si="2"/>
        <v>2000000</v>
      </c>
      <c r="AF33" s="336"/>
      <c r="AG33" s="39" t="str">
        <f t="shared" si="70"/>
        <v>ISE 321</v>
      </c>
      <c r="AH33" s="328">
        <f t="shared" si="70"/>
        <v>3</v>
      </c>
      <c r="AI33" s="320">
        <f>Q43</f>
        <v>0</v>
      </c>
      <c r="AJ33" s="294">
        <f>IF(AN33="y",AG33,IF(AE33=10101,AG33,IF(AE33&gt;999999,"",IF(SUMIF(AE2:AE80,"&lt;"&amp;AE33,AH2:AH80)&lt;32,"ERROR_Sophomore Standing",AG33))))</f>
      </c>
      <c r="AK33" s="158" t="b">
        <f>IF(OR(LEFT(Q43,1)="T",S43/X43&gt;=2),TRUE,FALSE)</f>
        <v>0</v>
      </c>
      <c r="AL33" s="320">
        <f>IF(P43&gt;0,P43*100,1000000)+IF(LEFT(O43,2)="Sp",1,IF(LEFT(O43,2)="Su",5,IF(LEFT(O43,2)="Fa",9,1000000)))</f>
        <v>2000000</v>
      </c>
      <c r="AM33" s="321"/>
      <c r="AN33" s="108"/>
      <c r="AO33" s="37"/>
      <c r="BA33" s="336">
        <f ca="1" t="shared" si="0"/>
      </c>
      <c r="BB33" s="336">
        <f ca="1" t="shared" si="72"/>
      </c>
      <c r="BC33" s="336">
        <f ca="1" t="shared" si="72"/>
      </c>
      <c r="BD33" s="336">
        <f ca="1" t="shared" si="72"/>
      </c>
      <c r="BE33" s="336">
        <f ca="1" t="shared" si="71"/>
      </c>
      <c r="BF33" s="336">
        <f ca="1" t="shared" si="71"/>
      </c>
      <c r="BG33" s="336">
        <f ca="1" t="shared" si="71"/>
      </c>
      <c r="BH33" s="336">
        <f ca="1" t="shared" si="71"/>
      </c>
      <c r="BI33" s="336">
        <f ca="1" t="shared" si="71"/>
      </c>
      <c r="BJ33" s="336">
        <f ca="1" t="shared" si="71"/>
      </c>
      <c r="BK33" s="336">
        <f ca="1" t="shared" si="71"/>
      </c>
      <c r="BL33" s="336">
        <f ca="1" t="shared" si="71"/>
      </c>
      <c r="BM33" s="336">
        <f ca="1" t="shared" si="71"/>
      </c>
      <c r="BN33" s="336">
        <f ca="1" t="shared" si="71"/>
      </c>
      <c r="BO33" s="336">
        <f ca="1" t="shared" si="71"/>
      </c>
      <c r="BQ33" s="138"/>
      <c r="BT33" s="153"/>
      <c r="BU33" s="139"/>
      <c r="BX33" s="153"/>
      <c r="BY33" s="139"/>
    </row>
    <row r="34" spans="2:67" ht="13.5" customHeight="1" thickBot="1">
      <c r="B34" s="36"/>
      <c r="C34" s="36"/>
      <c r="D34" s="36"/>
      <c r="E34" s="153"/>
      <c r="F34" s="124"/>
      <c r="G34" s="36"/>
      <c r="H34" s="36"/>
      <c r="I34" s="153"/>
      <c r="J34" s="36"/>
      <c r="K34" s="36"/>
      <c r="L34" s="36"/>
      <c r="M34" s="153"/>
      <c r="O34" s="79"/>
      <c r="P34" s="80"/>
      <c r="Q34" s="96"/>
      <c r="R34" s="96" t="s">
        <v>171</v>
      </c>
      <c r="S34" s="237">
        <f t="shared" si="65"/>
        <v>0</v>
      </c>
      <c r="T34" s="237">
        <f t="shared" si="66"/>
      </c>
      <c r="U34" s="237">
        <f t="shared" si="67"/>
      </c>
      <c r="V34" s="237">
        <f t="shared" si="68"/>
      </c>
      <c r="W34" s="93"/>
      <c r="X34" s="105"/>
      <c r="Y34" s="166"/>
      <c r="Z34" s="428"/>
      <c r="AD34" s="1">
        <v>34</v>
      </c>
      <c r="AE34" s="320">
        <f t="shared" si="2"/>
        <v>2000000</v>
      </c>
      <c r="AF34" s="336">
        <f>IF(AE34&lt;AE27,AE34,AE27)</f>
        <v>2000000</v>
      </c>
      <c r="AG34" s="39" t="str">
        <f aca="true" t="shared" si="73" ref="AG34:AG54">W45</f>
        <v>MAE 111</v>
      </c>
      <c r="AH34" s="329">
        <f aca="true" t="shared" si="74" ref="AH34:AH54">X45</f>
        <v>3</v>
      </c>
      <c r="AI34" s="330">
        <f aca="true" t="shared" si="75" ref="AI34:AI54">Q45</f>
        <v>0</v>
      </c>
      <c r="AJ34" s="294">
        <f>IF(AN34="y",AG34,IF(AE34=10101,AG34,IF(AE34&gt;999999,"",IF(AND(AE34&lt;AE59,AE59&lt;999999),"PREREQ ERROR_MA 113",AG34))))</f>
      </c>
      <c r="AK34" s="295" t="b">
        <f aca="true" t="shared" si="76" ref="AK34:AK54">IF(OR(LEFT(Q45,1)="T",S45/X45&gt;=2),TRUE,FALSE)</f>
        <v>0</v>
      </c>
      <c r="AL34" s="330">
        <f aca="true" t="shared" si="77" ref="AL34:AL54">IF(P45&gt;0,P45*100,1000000)+IF(LEFT(O45,2)="Sp",1,IF(LEFT(O45,2)="Su",5,IF(LEFT(O45,2)="Fa",9,1000000)))</f>
        <v>2000000</v>
      </c>
      <c r="AM34" s="321"/>
      <c r="AN34" s="108"/>
      <c r="AO34" s="45" t="b">
        <f>AND(AE34&gt;999999,AE27&lt;999999)</f>
        <v>0</v>
      </c>
      <c r="AR34" s="37"/>
      <c r="AS34" s="37"/>
      <c r="AT34" s="37"/>
      <c r="AU34" s="37"/>
      <c r="AW34" s="37"/>
      <c r="BA34" s="336">
        <f ca="1" t="shared" si="0"/>
      </c>
      <c r="BB34" s="336">
        <f ca="1" t="shared" si="72"/>
      </c>
      <c r="BC34" s="336">
        <f ca="1" t="shared" si="72"/>
      </c>
      <c r="BD34" s="336">
        <f ca="1" t="shared" si="72"/>
      </c>
      <c r="BE34" s="336">
        <f ca="1" t="shared" si="71"/>
      </c>
      <c r="BF34" s="336">
        <f ca="1" t="shared" si="71"/>
      </c>
      <c r="BG34" s="336">
        <f ca="1" t="shared" si="71"/>
      </c>
      <c r="BH34" s="336">
        <f ca="1" t="shared" si="71"/>
      </c>
      <c r="BI34" s="336">
        <f ca="1" t="shared" si="71"/>
      </c>
      <c r="BJ34" s="336">
        <f ca="1" t="shared" si="71"/>
      </c>
      <c r="BK34" s="336">
        <f ca="1" t="shared" si="71"/>
      </c>
      <c r="BL34" s="336">
        <f ca="1" t="shared" si="71"/>
      </c>
      <c r="BM34" s="336">
        <f ca="1" t="shared" si="71"/>
      </c>
      <c r="BN34" s="336">
        <f ca="1" t="shared" si="71"/>
      </c>
      <c r="BO34" s="336">
        <f ca="1" t="shared" si="71"/>
      </c>
    </row>
    <row r="35" spans="2:79" ht="13.5" customHeight="1" thickBot="1">
      <c r="B35" s="397" t="str">
        <f>IF(OR($D$5="Spring",$D$5="Summer"),"Fall"&amp;" "&amp;$E$5+1,IF($D$5="Fall","Fall"&amp;" "&amp;$E$5+2,""))</f>
        <v>Fall 2015</v>
      </c>
      <c r="C35" s="398"/>
      <c r="D35" s="399"/>
      <c r="E35" s="156">
        <f>IF(LEFT(B35,2)="Sp",1,IF(LEFT(B35,2)="Su",5,9))+VALUE(RIGHT(B35,4))*100</f>
        <v>201509</v>
      </c>
      <c r="F35" s="397" t="str">
        <f>IF(F11="Spring"&amp;" "&amp;E5+1,"Spring"&amp;" "&amp;E5+3,"Spring"&amp;" "&amp;E5+2)</f>
        <v>Spring 2016</v>
      </c>
      <c r="G35" s="398"/>
      <c r="H35" s="399"/>
      <c r="I35" s="156">
        <f>IF(LEFT(F35,2)="Sp",1,IF(LEFT(F35,2)="Su",5,9))+VALUE(RIGHT(F35,4))*100</f>
        <v>201601</v>
      </c>
      <c r="J35" s="397" t="str">
        <f>IF(J11="Summer"&amp;" "&amp;E5+1,"Summer"&amp;" "&amp;E5+3,"Summer"&amp;" "&amp;E5+2)</f>
        <v>Summer 2016</v>
      </c>
      <c r="K35" s="398"/>
      <c r="L35" s="399"/>
      <c r="M35" s="156">
        <f>IF(LEFT(J35,2)="Sp",1,IF(LEFT(J35,2)="Su",5,9))+VALUE(RIGHT(J35,4))*100</f>
        <v>201605</v>
      </c>
      <c r="O35" s="275" t="s">
        <v>211</v>
      </c>
      <c r="P35" s="165"/>
      <c r="Q35" s="165"/>
      <c r="R35" s="234"/>
      <c r="S35" s="306"/>
      <c r="T35" s="306"/>
      <c r="U35" s="306"/>
      <c r="V35" s="306"/>
      <c r="W35" s="165"/>
      <c r="X35" s="165"/>
      <c r="Y35" s="276"/>
      <c r="Z35" s="271"/>
      <c r="AD35" s="1">
        <v>35</v>
      </c>
      <c r="AE35" s="320">
        <f t="shared" si="2"/>
        <v>2000000</v>
      </c>
      <c r="AF35" s="336"/>
      <c r="AG35" s="39" t="str">
        <f t="shared" si="73"/>
        <v>MAE 200</v>
      </c>
      <c r="AH35" s="328">
        <f t="shared" si="74"/>
        <v>3</v>
      </c>
      <c r="AI35" s="320">
        <f t="shared" si="75"/>
        <v>0</v>
      </c>
      <c r="AJ35" s="294">
        <f>IF(AN35="y",AG35,IF(AE35=10101,AG35,IF(AE35&gt;999999,"",IF(AND(AE35&lt;AE59,AE59&lt;999999),"PREREQ ERROR_MA 113",AG35))))</f>
      </c>
      <c r="AK35" s="158" t="b">
        <f t="shared" si="76"/>
        <v>0</v>
      </c>
      <c r="AL35" s="320">
        <f t="shared" si="77"/>
        <v>2000000</v>
      </c>
      <c r="AM35" s="322"/>
      <c r="AN35" s="108"/>
      <c r="AO35" s="37"/>
      <c r="AR35" s="37"/>
      <c r="AS35" s="37"/>
      <c r="AT35" s="37"/>
      <c r="AU35" s="37"/>
      <c r="AW35" s="37"/>
      <c r="AX35" s="37"/>
      <c r="BA35" s="336">
        <f ca="1" t="shared" si="0"/>
      </c>
      <c r="BB35" s="336">
        <f ca="1" t="shared" si="72"/>
      </c>
      <c r="BC35" s="336">
        <f ca="1" t="shared" si="72"/>
      </c>
      <c r="BD35" s="336">
        <f ca="1" t="shared" si="72"/>
      </c>
      <c r="BE35" s="336">
        <f ca="1" t="shared" si="71"/>
      </c>
      <c r="BF35" s="336">
        <f ca="1" t="shared" si="71"/>
      </c>
      <c r="BG35" s="336">
        <f ca="1" t="shared" si="71"/>
      </c>
      <c r="BH35" s="336">
        <f ca="1" t="shared" si="71"/>
      </c>
      <c r="BI35" s="336">
        <f ca="1" t="shared" si="71"/>
      </c>
      <c r="BJ35" s="336">
        <f ca="1" t="shared" si="71"/>
      </c>
      <c r="BK35" s="336">
        <f ca="1" t="shared" si="71"/>
      </c>
      <c r="BL35" s="336">
        <f ca="1" t="shared" si="71"/>
      </c>
      <c r="BM35" s="336">
        <f ca="1" t="shared" si="71"/>
      </c>
      <c r="BN35" s="336">
        <f ca="1" t="shared" si="71"/>
      </c>
      <c r="BO35" s="336">
        <f ca="1" t="shared" si="71"/>
      </c>
      <c r="BQ35" s="182">
        <f>E35</f>
        <v>201509</v>
      </c>
      <c r="BR35" s="183"/>
      <c r="BS35" s="184"/>
      <c r="BT35" s="153"/>
      <c r="BU35" s="182">
        <f>I35</f>
        <v>201601</v>
      </c>
      <c r="BV35" s="183"/>
      <c r="BW35" s="184"/>
      <c r="BX35" s="153"/>
      <c r="BY35" s="182">
        <f>M35</f>
        <v>201605</v>
      </c>
      <c r="BZ35" s="183"/>
      <c r="CA35" s="184"/>
    </row>
    <row r="36" spans="2:79" ht="13.5" customHeight="1">
      <c r="B36" s="135" t="s">
        <v>2</v>
      </c>
      <c r="C36" s="136" t="s">
        <v>3</v>
      </c>
      <c r="D36" s="137" t="s">
        <v>4</v>
      </c>
      <c r="E36" s="153"/>
      <c r="F36" s="135" t="s">
        <v>2</v>
      </c>
      <c r="G36" s="136" t="s">
        <v>3</v>
      </c>
      <c r="H36" s="137" t="s">
        <v>4</v>
      </c>
      <c r="I36" s="153"/>
      <c r="J36" s="135" t="s">
        <v>2</v>
      </c>
      <c r="K36" s="136" t="s">
        <v>3</v>
      </c>
      <c r="L36" s="137" t="s">
        <v>4</v>
      </c>
      <c r="M36" s="153"/>
      <c r="O36" s="161"/>
      <c r="P36" s="71"/>
      <c r="Q36" s="229"/>
      <c r="R36" s="241" t="s">
        <v>174</v>
      </c>
      <c r="S36" s="241">
        <f>IF(LEFT(Q36,1)="a",4,IF(LEFT(Q36,1)="b",3,IF(LEFT(Q36,1)="c",2,IF(LEFT(Q36,1)="d",1,0))))*X36</f>
        <v>0</v>
      </c>
      <c r="T36" s="241">
        <f>IF(OR(S36&gt;0,LEFT(Q36,1)="f"),X36,"")</f>
      </c>
      <c r="U36" s="241">
        <f>IF(R36="Y",S36,"")</f>
        <v>0</v>
      </c>
      <c r="V36" s="241">
        <f>IF(AND(R36="Y",T36&gt;0),T36,"")</f>
      </c>
      <c r="W36" s="272" t="s">
        <v>23</v>
      </c>
      <c r="X36" s="273">
        <v>3</v>
      </c>
      <c r="Y36" s="274" t="s">
        <v>24</v>
      </c>
      <c r="Z36" s="270" t="s">
        <v>213</v>
      </c>
      <c r="AD36" s="1">
        <v>36</v>
      </c>
      <c r="AE36" s="320">
        <f t="shared" si="2"/>
        <v>2000000</v>
      </c>
      <c r="AF36" s="336"/>
      <c r="AG36" s="39" t="str">
        <f t="shared" si="73"/>
        <v>MAE 272</v>
      </c>
      <c r="AH36" s="328">
        <f t="shared" si="74"/>
        <v>3</v>
      </c>
      <c r="AI36" s="320">
        <f t="shared" si="75"/>
        <v>0</v>
      </c>
      <c r="AJ36" s="294">
        <f>IF(AN36="y",AG36,IF(AE36=10101,AG36,IF(AE36&gt;999999,"",IF(AE36&lt;=AE30,"PREREQ ERROR_MAE 271",IF(NOT(OR(AND(AE36&gt;AE34,AE34&lt;999999),AND(AE36&gt;AE28,AE28&lt;999999),AND(AE36&gt;AE63,AE63&lt;999999))),"PREREQ ERROR_MAE 111 or MA 285 or CPE 112",AG36)))))</f>
      </c>
      <c r="AK36" s="158" t="b">
        <f t="shared" si="76"/>
        <v>0</v>
      </c>
      <c r="AL36" s="320">
        <f t="shared" si="77"/>
        <v>2000000</v>
      </c>
      <c r="AM36" s="322"/>
      <c r="AN36" s="108"/>
      <c r="AO36" s="45"/>
      <c r="AR36" s="37"/>
      <c r="AS36" s="37"/>
      <c r="AT36" s="37"/>
      <c r="AU36" s="37"/>
      <c r="AV36" s="37"/>
      <c r="AW36" s="37"/>
      <c r="AX36" s="37"/>
      <c r="BA36" s="336">
        <f ca="1" t="shared" si="0"/>
      </c>
      <c r="BB36" s="336">
        <f ca="1" t="shared" si="72"/>
      </c>
      <c r="BC36" s="336">
        <f ca="1" t="shared" si="72"/>
      </c>
      <c r="BD36" s="336">
        <f ca="1" t="shared" si="72"/>
      </c>
      <c r="BE36" s="336">
        <f ca="1" t="shared" si="71"/>
      </c>
      <c r="BF36" s="336">
        <f ca="1" t="shared" si="71"/>
      </c>
      <c r="BG36" s="336">
        <f ca="1" t="shared" si="71"/>
      </c>
      <c r="BH36" s="336">
        <f ca="1" t="shared" si="71"/>
      </c>
      <c r="BI36" s="336">
        <f ca="1" t="shared" si="71"/>
      </c>
      <c r="BJ36" s="336">
        <f ca="1" t="shared" si="71"/>
      </c>
      <c r="BK36" s="336">
        <f ca="1" t="shared" si="71"/>
      </c>
      <c r="BL36" s="336">
        <f ca="1" t="shared" si="71"/>
      </c>
      <c r="BM36" s="336">
        <f ca="1" t="shared" si="71"/>
      </c>
      <c r="BN36" s="336">
        <f ca="1" t="shared" si="71"/>
      </c>
      <c r="BO36" s="336">
        <f ca="1" t="shared" si="71"/>
      </c>
      <c r="BQ36" s="340" t="s">
        <v>153</v>
      </c>
      <c r="BR36" s="340" t="s">
        <v>155</v>
      </c>
      <c r="BS36" s="340" t="s">
        <v>156</v>
      </c>
      <c r="BT36" s="153"/>
      <c r="BU36" s="340" t="s">
        <v>153</v>
      </c>
      <c r="BV36" s="340" t="s">
        <v>155</v>
      </c>
      <c r="BW36" s="340" t="s">
        <v>156</v>
      </c>
      <c r="BX36" s="153"/>
      <c r="BY36" s="340" t="s">
        <v>153</v>
      </c>
      <c r="BZ36" s="340" t="s">
        <v>155</v>
      </c>
      <c r="CA36" s="340" t="s">
        <v>156</v>
      </c>
    </row>
    <row r="37" spans="2:79" ht="13.5" customHeight="1">
      <c r="B37" s="130">
        <f>IF(BR37=BS37,BR37,"Error "&amp;BQ37)</f>
      </c>
      <c r="C37" s="39">
        <f aca="true" t="shared" si="78" ref="C37:C43">IF(BQ37&gt;0,INDEX(AECourses,BQ37,2),"")</f>
      </c>
      <c r="D37" s="43">
        <f aca="true" t="shared" si="79" ref="D37:D43">IF(BQ37&gt;0,INDEX(AECourses,BQ37,3),"")</f>
      </c>
      <c r="E37" s="153">
        <f>IF(LEFT(D37,1)="a",4*C37,IF(LEFT(D37,1)="b",3*C37,IF(LEFT(D37,1)="c",2*C37,IF(LEFT(D37,1)="d",C37,IF(LEFT(D37,1)="f",0,"")))))</f>
      </c>
      <c r="F37" s="130">
        <f>IF(BV37=BW37,BV37,"Error "&amp;BU37)</f>
      </c>
      <c r="G37" s="39">
        <f aca="true" t="shared" si="80" ref="G37:G43">IF(BU37&gt;0,INDEX(AECourses,BU37,2),"")</f>
      </c>
      <c r="H37" s="43">
        <f aca="true" t="shared" si="81" ref="H37:H43">IF(BU37&gt;0,INDEX(AECourses,BU37,3),"")</f>
      </c>
      <c r="I37" s="153">
        <f>IF(LEFT(H37,1)="a",4*G37,IF(LEFT(H37,1)="b",3*G37,IF(LEFT(H37,1)="c",2*G37,IF(LEFT(H37,1)="d",G37,IF(LEFT(H37,1)="f",0,"")))))</f>
      </c>
      <c r="J37" s="130">
        <f>IF(BZ37=CA37,BZ37,"Error "&amp;BY37)</f>
      </c>
      <c r="K37" s="39">
        <f aca="true" t="shared" si="82" ref="K37:K43">IF(BY37&gt;0,INDEX(AECourses,BY37,2),"")</f>
      </c>
      <c r="L37" s="43">
        <f aca="true" t="shared" si="83" ref="L37:L43">IF(BY37&gt;0,INDEX(AECourses,BY37,3),"")</f>
      </c>
      <c r="M37" s="153">
        <f>IF(LEFT(L37,1)="a",4*K37,IF(LEFT(L37,1)="b",3*K37,IF(LEFT(L37,1)="c",2*K37,IF(LEFT(L37,1)="d",K37,IF(LEFT(L37,1)="f",0,"")))))</f>
      </c>
      <c r="O37" s="69"/>
      <c r="P37" s="75"/>
      <c r="Q37" s="97"/>
      <c r="R37" s="238" t="s">
        <v>174</v>
      </c>
      <c r="S37" s="238">
        <f>IF(LEFT(Q37,1)="a",4,IF(LEFT(Q37,1)="b",3,IF(LEFT(Q37,1)="c",2,IF(LEFT(Q37,1)="d",1,0))))*X37</f>
        <v>0</v>
      </c>
      <c r="T37" s="238">
        <f>IF(OR(S37&gt;0,LEFT(Q37,1)="f"),X37,"")</f>
      </c>
      <c r="U37" s="238">
        <f>IF(R37="Y",S37,"")</f>
        <v>0</v>
      </c>
      <c r="V37" s="238">
        <f>IF(AND(R37="Y",T37&gt;0),T37,"")</f>
      </c>
      <c r="W37" s="34" t="s">
        <v>27</v>
      </c>
      <c r="X37" s="7">
        <v>3</v>
      </c>
      <c r="Y37" s="18" t="s">
        <v>28</v>
      </c>
      <c r="Z37" s="414" t="s">
        <v>214</v>
      </c>
      <c r="AD37" s="1">
        <v>37</v>
      </c>
      <c r="AE37" s="320">
        <f t="shared" si="2"/>
        <v>2000000</v>
      </c>
      <c r="AF37" s="336"/>
      <c r="AG37" s="39" t="str">
        <f t="shared" si="73"/>
        <v>MAE 284</v>
      </c>
      <c r="AH37" s="328">
        <f t="shared" si="74"/>
        <v>3</v>
      </c>
      <c r="AI37" s="320">
        <f t="shared" si="75"/>
        <v>0</v>
      </c>
      <c r="AJ37" s="294">
        <f>IF(AN37="y",AG37,IF(AE37=10101,AG37,IF(AE37&gt;999999,"",IF(AE37&lt;=AE8,"PREREQ ERROR_MA 244",IF(NOT(OR(AND(AE37&gt;AE27,AE27&lt;999999),AND(AE37&gt;AE34,AE34&lt;999999),AND(AE37&gt;AE63,AE63&lt;999999))),"PREREQ ERROR_MAE 110 or MAE 111 or CPE 112",IF(AE37&lt;AE7,"PREREQ w/Con ERROR_MA 238",AG37))))))</f>
      </c>
      <c r="AK37" s="158" t="b">
        <f t="shared" si="76"/>
        <v>0</v>
      </c>
      <c r="AL37" s="320">
        <f t="shared" si="77"/>
        <v>2000000</v>
      </c>
      <c r="AM37" s="322"/>
      <c r="AN37" s="108"/>
      <c r="AO37" s="45" t="b">
        <f>AND(AE37&gt;999999,AE29&lt;999999)</f>
        <v>0</v>
      </c>
      <c r="AR37" s="37"/>
      <c r="AS37" s="37"/>
      <c r="AT37" s="37"/>
      <c r="AU37" s="37"/>
      <c r="AV37" s="37"/>
      <c r="AW37" s="37"/>
      <c r="AX37" s="37"/>
      <c r="BA37" s="336">
        <f ca="1" t="shared" si="0"/>
      </c>
      <c r="BB37" s="336">
        <f ca="1" t="shared" si="72"/>
      </c>
      <c r="BC37" s="336">
        <f ca="1" t="shared" si="72"/>
      </c>
      <c r="BD37" s="336">
        <f ca="1" t="shared" si="72"/>
      </c>
      <c r="BE37" s="336">
        <f ca="1" t="shared" si="71"/>
      </c>
      <c r="BF37" s="336">
        <f ca="1" t="shared" si="71"/>
      </c>
      <c r="BG37" s="336">
        <f ca="1" t="shared" si="71"/>
      </c>
      <c r="BH37" s="336">
        <f ca="1" t="shared" si="71"/>
      </c>
      <c r="BI37" s="336">
        <f ca="1" t="shared" si="71"/>
      </c>
      <c r="BJ37" s="336">
        <f ca="1" t="shared" si="71"/>
      </c>
      <c r="BK37" s="336">
        <f ca="1" t="shared" si="71"/>
      </c>
      <c r="BL37" s="336">
        <f ca="1" t="shared" si="71"/>
      </c>
      <c r="BM37" s="336">
        <f ca="1" t="shared" si="71"/>
      </c>
      <c r="BN37" s="336">
        <f ca="1" t="shared" si="71"/>
      </c>
      <c r="BO37" s="336">
        <f ca="1" t="shared" si="71"/>
      </c>
      <c r="BQ37" s="176">
        <f aca="true" t="shared" si="84" ref="BQ37:BQ44">BG82</f>
        <v>0</v>
      </c>
      <c r="BR37" s="320">
        <f aca="true" t="shared" si="85" ref="BR37:BR44">IF(BQ37&gt;0,INDEX(AECourses,BQ37,1),"")</f>
      </c>
      <c r="BS37" s="320">
        <f aca="true" t="shared" si="86" ref="BS37:BS44">IF(BQ37&gt;0,INDEX(AECourses,BQ37,4),"")</f>
      </c>
      <c r="BT37" s="153"/>
      <c r="BU37" s="176">
        <f aca="true" t="shared" si="87" ref="BU37:BU44">BH82</f>
        <v>0</v>
      </c>
      <c r="BV37" s="320">
        <f aca="true" t="shared" si="88" ref="BV37:BV44">IF(BU37&gt;0,INDEX(AECourses,BU37,1),"")</f>
      </c>
      <c r="BW37" s="320">
        <f aca="true" t="shared" si="89" ref="BW37:BW44">IF(BU37&gt;0,INDEX(AECourses,BU37,4),"")</f>
      </c>
      <c r="BX37" s="153"/>
      <c r="BY37" s="176">
        <f aca="true" t="shared" si="90" ref="BY37:BY44">BI82</f>
        <v>0</v>
      </c>
      <c r="BZ37" s="320">
        <f aca="true" t="shared" si="91" ref="BZ37:BZ44">IF(BY37&gt;0,INDEX(AECourses,BY37,1),"")</f>
      </c>
      <c r="CA37" s="320">
        <f aca="true" t="shared" si="92" ref="CA37:CA44">IF(BY37&gt;0,INDEX(AECourses,BY37,4),"")</f>
      </c>
    </row>
    <row r="38" spans="2:79" ht="13.5" customHeight="1" thickBot="1">
      <c r="B38" s="130">
        <f aca="true" t="shared" si="93" ref="B38:B43">IF(BR38=BS38,BR38,"Error "&amp;BQ38)</f>
      </c>
      <c r="C38" s="39">
        <f t="shared" si="78"/>
      </c>
      <c r="D38" s="43">
        <f t="shared" si="79"/>
      </c>
      <c r="E38" s="153">
        <f aca="true" t="shared" si="94" ref="E38:E43">IF(LEFT(D38,1)="a",4*C38,IF(LEFT(D38,1)="b",3*C38,IF(LEFT(D38,1)="c",2*C38,IF(LEFT(D38,1)="d",C38,IF(LEFT(D38,1)="f",0,"")))))</f>
      </c>
      <c r="F38" s="130">
        <f aca="true" t="shared" si="95" ref="F38:F43">IF(BV38=BW38,BV38,"Error "&amp;BU38)</f>
      </c>
      <c r="G38" s="39">
        <f t="shared" si="80"/>
      </c>
      <c r="H38" s="43">
        <f t="shared" si="81"/>
      </c>
      <c r="I38" s="153">
        <f aca="true" t="shared" si="96" ref="I38:I43">IF(LEFT(H38,1)="a",4*G38,IF(LEFT(H38,1)="b",3*G38,IF(LEFT(H38,1)="c",2*G38,IF(LEFT(H38,1)="d",G38,IF(LEFT(H38,1)="f",0,"")))))</f>
      </c>
      <c r="J38" s="130">
        <f aca="true" t="shared" si="97" ref="J38:J43">IF(BZ38=CA38,BZ38,"Error "&amp;BY38)</f>
      </c>
      <c r="K38" s="39">
        <f t="shared" si="82"/>
      </c>
      <c r="L38" s="43">
        <f t="shared" si="83"/>
      </c>
      <c r="M38" s="153">
        <f aca="true" t="shared" si="98" ref="M38:M43">IF(LEFT(L38,1)="a",4*K38,IF(LEFT(L38,1)="b",3*K38,IF(LEFT(L38,1)="c",2*K38,IF(LEFT(L38,1)="d",K38,IF(LEFT(L38,1)="f",0,"")))))</f>
      </c>
      <c r="O38" s="127"/>
      <c r="P38" s="90"/>
      <c r="Q38" s="228"/>
      <c r="R38" s="239" t="s">
        <v>174</v>
      </c>
      <c r="S38" s="239">
        <f>IF(LEFT(Q38,1)="a",4,IF(LEFT(Q38,1)="b",3,IF(LEFT(Q38,1)="c",2,IF(LEFT(Q38,1)="d",1,0))))*X38</f>
        <v>0</v>
      </c>
      <c r="T38" s="239">
        <f>IF(OR(S38&gt;0,LEFT(Q38,1)="f"),X38,"")</f>
      </c>
      <c r="U38" s="239">
        <f>IF(R38="Y",S38,"")</f>
        <v>0</v>
      </c>
      <c r="V38" s="239">
        <f>IF(AND(R38="Y",T38&gt;0),T38,"")</f>
      </c>
      <c r="W38" s="52" t="s">
        <v>40</v>
      </c>
      <c r="X38" s="53">
        <v>2</v>
      </c>
      <c r="Y38" s="282" t="s">
        <v>41</v>
      </c>
      <c r="Z38" s="415"/>
      <c r="AD38" s="1">
        <v>38</v>
      </c>
      <c r="AE38" s="320">
        <f t="shared" si="2"/>
        <v>2000000</v>
      </c>
      <c r="AF38" s="336"/>
      <c r="AG38" s="39" t="str">
        <f t="shared" si="73"/>
        <v>MAE 310</v>
      </c>
      <c r="AH38" s="328">
        <f t="shared" si="74"/>
        <v>3</v>
      </c>
      <c r="AI38" s="320">
        <f t="shared" si="75"/>
        <v>0</v>
      </c>
      <c r="AJ38" s="294">
        <f>IF(AN38="y",AG38,IF(AE38=10101,AG38,IF(AE38&gt;999999,"",IF(AE38&lt;=AE30,"PREREQ ERROR_MAE/CE 271",IF(NOT(OR(AND(AE38&gt;AE34,AE34&lt;999999),AND(AE38&gt;AE28,AE28&lt;999999),AND(AE38&gt;AE63,AE63&lt;999999),AND(AE38&gt;AE64,AE64&lt;999999))),"PREREQ ERROR_MAE 111, 285, CPE 112 or CHE 197",IF(AE38&lt;=AE7,"PREREQ ERROR_MA 238",AG38))))))</f>
      </c>
      <c r="AK38" s="158" t="b">
        <f t="shared" si="76"/>
        <v>0</v>
      </c>
      <c r="AL38" s="320">
        <f t="shared" si="77"/>
        <v>2000000</v>
      </c>
      <c r="AM38" s="322"/>
      <c r="AN38" s="108"/>
      <c r="AO38" s="45"/>
      <c r="AR38" s="37"/>
      <c r="AS38" s="37"/>
      <c r="AT38" s="37"/>
      <c r="AU38" s="37"/>
      <c r="AV38" s="37"/>
      <c r="AW38" s="37"/>
      <c r="AX38" s="37"/>
      <c r="BA38" s="336">
        <f ca="1" t="shared" si="0"/>
      </c>
      <c r="BB38" s="336">
        <f ca="1" t="shared" si="72"/>
      </c>
      <c r="BC38" s="336">
        <f ca="1" t="shared" si="72"/>
      </c>
      <c r="BD38" s="336">
        <f ca="1" t="shared" si="72"/>
      </c>
      <c r="BE38" s="336">
        <f ca="1" t="shared" si="71"/>
      </c>
      <c r="BF38" s="336">
        <f ca="1" t="shared" si="71"/>
      </c>
      <c r="BG38" s="336">
        <f ca="1" t="shared" si="71"/>
      </c>
      <c r="BH38" s="336">
        <f ca="1" t="shared" si="71"/>
      </c>
      <c r="BI38" s="336">
        <f ca="1" t="shared" si="71"/>
      </c>
      <c r="BJ38" s="336">
        <f ca="1" t="shared" si="71"/>
      </c>
      <c r="BK38" s="336">
        <f ca="1" t="shared" si="71"/>
      </c>
      <c r="BL38" s="336">
        <f ca="1" t="shared" si="71"/>
      </c>
      <c r="BM38" s="336">
        <f ca="1" t="shared" si="71"/>
      </c>
      <c r="BN38" s="336">
        <f ca="1" t="shared" si="71"/>
      </c>
      <c r="BO38" s="336">
        <f ca="1" t="shared" si="71"/>
      </c>
      <c r="BQ38" s="176">
        <f t="shared" si="84"/>
        <v>0</v>
      </c>
      <c r="BR38" s="320">
        <f t="shared" si="85"/>
      </c>
      <c r="BS38" s="320">
        <f t="shared" si="86"/>
      </c>
      <c r="BT38" s="153"/>
      <c r="BU38" s="176">
        <f t="shared" si="87"/>
        <v>0</v>
      </c>
      <c r="BV38" s="320">
        <f t="shared" si="88"/>
      </c>
      <c r="BW38" s="320">
        <f t="shared" si="89"/>
      </c>
      <c r="BX38" s="153"/>
      <c r="BY38" s="176">
        <f t="shared" si="90"/>
        <v>0</v>
      </c>
      <c r="BZ38" s="320">
        <f t="shared" si="91"/>
      </c>
      <c r="CA38" s="320">
        <f t="shared" si="92"/>
      </c>
    </row>
    <row r="39" spans="2:79" ht="13.5" customHeight="1" thickBot="1">
      <c r="B39" s="130">
        <f t="shared" si="93"/>
      </c>
      <c r="C39" s="39">
        <f t="shared" si="78"/>
      </c>
      <c r="D39" s="43">
        <f t="shared" si="79"/>
      </c>
      <c r="E39" s="153">
        <f t="shared" si="94"/>
      </c>
      <c r="F39" s="130">
        <f t="shared" si="95"/>
      </c>
      <c r="G39" s="39">
        <f t="shared" si="80"/>
      </c>
      <c r="H39" s="43">
        <f t="shared" si="81"/>
      </c>
      <c r="I39" s="153">
        <f t="shared" si="96"/>
      </c>
      <c r="J39" s="130">
        <f t="shared" si="97"/>
      </c>
      <c r="K39" s="39">
        <f t="shared" si="82"/>
      </c>
      <c r="L39" s="43">
        <f t="shared" si="83"/>
      </c>
      <c r="M39" s="153">
        <f t="shared" si="98"/>
      </c>
      <c r="N39" s="380" t="s">
        <v>240</v>
      </c>
      <c r="O39" s="164" t="s">
        <v>16</v>
      </c>
      <c r="P39" s="205"/>
      <c r="Q39" s="205"/>
      <c r="R39" s="245"/>
      <c r="S39" s="307"/>
      <c r="T39" s="307"/>
      <c r="U39" s="307"/>
      <c r="V39" s="307"/>
      <c r="W39" s="205"/>
      <c r="X39" s="205"/>
      <c r="Y39" s="277"/>
      <c r="Z39" s="217" t="s">
        <v>55</v>
      </c>
      <c r="AD39" s="1">
        <v>39</v>
      </c>
      <c r="AE39" s="320">
        <f t="shared" si="2"/>
        <v>2000000</v>
      </c>
      <c r="AF39" s="336"/>
      <c r="AG39" s="39" t="str">
        <f t="shared" si="73"/>
        <v>MAE 311</v>
      </c>
      <c r="AH39" s="328">
        <f t="shared" si="74"/>
        <v>3</v>
      </c>
      <c r="AI39" s="320">
        <f t="shared" si="75"/>
        <v>0</v>
      </c>
      <c r="AJ39" s="294">
        <f>IF(AN39="y",AG39,IF(AE39=10101,AG39,IF(AE39&gt;999999,"",IF(AE39&lt;=AE32,"PREREQ ERROR_EE 213",IF(AE39&lt;AE35,"PREREQ ERROR_MAE 200",AG39)))))</f>
      </c>
      <c r="AK39" s="158" t="b">
        <f t="shared" si="76"/>
        <v>0</v>
      </c>
      <c r="AL39" s="320">
        <f t="shared" si="77"/>
        <v>2000000</v>
      </c>
      <c r="AM39" s="322"/>
      <c r="AN39" s="108"/>
      <c r="AO39" s="37"/>
      <c r="AR39" s="37"/>
      <c r="AS39" s="37"/>
      <c r="AT39" s="37"/>
      <c r="AV39" s="37"/>
      <c r="AX39" s="37"/>
      <c r="BA39" s="336">
        <f ca="1" t="shared" si="0"/>
      </c>
      <c r="BB39" s="336">
        <f ca="1" t="shared" si="72"/>
      </c>
      <c r="BC39" s="336">
        <f ca="1" t="shared" si="72"/>
      </c>
      <c r="BD39" s="336">
        <f ca="1" t="shared" si="72"/>
      </c>
      <c r="BE39" s="336">
        <f ca="1" t="shared" si="71"/>
      </c>
      <c r="BF39" s="336">
        <f ca="1" t="shared" si="71"/>
      </c>
      <c r="BG39" s="336">
        <f ca="1" t="shared" si="71"/>
      </c>
      <c r="BH39" s="336">
        <f ca="1" t="shared" si="71"/>
      </c>
      <c r="BI39" s="336">
        <f ca="1" t="shared" si="71"/>
      </c>
      <c r="BJ39" s="336">
        <f ca="1" t="shared" si="71"/>
      </c>
      <c r="BK39" s="336">
        <f ca="1" t="shared" si="71"/>
      </c>
      <c r="BL39" s="336">
        <f ca="1" t="shared" si="71"/>
      </c>
      <c r="BM39" s="336">
        <f ca="1" t="shared" si="71"/>
      </c>
      <c r="BN39" s="336">
        <f ca="1" t="shared" si="71"/>
      </c>
      <c r="BO39" s="336">
        <f ca="1" t="shared" si="71"/>
      </c>
      <c r="BQ39" s="176">
        <f t="shared" si="84"/>
        <v>0</v>
      </c>
      <c r="BR39" s="320">
        <f t="shared" si="85"/>
      </c>
      <c r="BS39" s="320">
        <f t="shared" si="86"/>
      </c>
      <c r="BT39" s="153"/>
      <c r="BU39" s="176">
        <f t="shared" si="87"/>
        <v>0</v>
      </c>
      <c r="BV39" s="320">
        <f t="shared" si="88"/>
      </c>
      <c r="BW39" s="320">
        <f t="shared" si="89"/>
      </c>
      <c r="BX39" s="153"/>
      <c r="BY39" s="176">
        <f t="shared" si="90"/>
        <v>0</v>
      </c>
      <c r="BZ39" s="320">
        <f t="shared" si="91"/>
      </c>
      <c r="CA39" s="320">
        <f t="shared" si="92"/>
      </c>
    </row>
    <row r="40" spans="2:79" ht="13.5" customHeight="1">
      <c r="B40" s="130">
        <f t="shared" si="93"/>
      </c>
      <c r="C40" s="39">
        <f t="shared" si="78"/>
      </c>
      <c r="D40" s="43">
        <f t="shared" si="79"/>
      </c>
      <c r="E40" s="153">
        <f t="shared" si="94"/>
      </c>
      <c r="F40" s="130">
        <f t="shared" si="95"/>
      </c>
      <c r="G40" s="39">
        <f t="shared" si="80"/>
      </c>
      <c r="H40" s="43">
        <f t="shared" si="81"/>
      </c>
      <c r="I40" s="153">
        <f t="shared" si="96"/>
      </c>
      <c r="J40" s="130">
        <f t="shared" si="97"/>
      </c>
      <c r="K40" s="39">
        <f t="shared" si="82"/>
      </c>
      <c r="L40" s="43">
        <f t="shared" si="83"/>
      </c>
      <c r="M40" s="153">
        <f t="shared" si="98"/>
      </c>
      <c r="N40" s="380"/>
      <c r="O40" s="84"/>
      <c r="P40" s="86"/>
      <c r="Q40" s="95"/>
      <c r="R40" s="236" t="s">
        <v>174</v>
      </c>
      <c r="S40" s="236">
        <f>IF(LEFT(Q40,1)="a",4,IF(LEFT(Q40,1)="b",3,IF(LEFT(Q40,1)="c",2,IF(LEFT(Q40,1)="d",1,0))))*X40</f>
        <v>0</v>
      </c>
      <c r="T40" s="236">
        <f t="shared" si="66"/>
      </c>
      <c r="U40" s="236">
        <f t="shared" si="67"/>
        <v>0</v>
      </c>
      <c r="V40" s="236">
        <f t="shared" si="68"/>
      </c>
      <c r="W40" s="314" t="s">
        <v>113</v>
      </c>
      <c r="X40" s="48">
        <v>3</v>
      </c>
      <c r="Y40" s="49" t="s">
        <v>17</v>
      </c>
      <c r="Z40" s="25" t="s">
        <v>307</v>
      </c>
      <c r="AD40" s="1">
        <v>40</v>
      </c>
      <c r="AE40" s="320">
        <f t="shared" si="2"/>
        <v>2000000</v>
      </c>
      <c r="AF40" s="336"/>
      <c r="AG40" s="39" t="str">
        <f t="shared" si="73"/>
        <v>MAE 370</v>
      </c>
      <c r="AH40" s="328">
        <f t="shared" si="74"/>
        <v>4</v>
      </c>
      <c r="AI40" s="320">
        <f t="shared" si="75"/>
        <v>0</v>
      </c>
      <c r="AJ40" s="294">
        <f>IF(AN40="y",AG40,IF(AE40=10101,AG40,IF(AE40&gt;999999,"",IF(AE40&lt;=AE30,"PREREQ ERROR_MAE/CE 271",IF(AE40&gt;AE28,AG40,IF(AE40&lt;=AE8,"PREREQ ERROR_MA 244",IF(AM40,"PREREQ ERROR_MA 244 &amp; (MAE 110, 111 or CPE 112) or MAE 285",AG40)))))))</f>
      </c>
      <c r="AK40" s="158" t="b">
        <f t="shared" si="76"/>
        <v>0</v>
      </c>
      <c r="AL40" s="320">
        <f t="shared" si="77"/>
        <v>2000000</v>
      </c>
      <c r="AM40" s="344" t="b">
        <f>NOT(OR(AND(AE40&gt;AE27,AE27&lt;999999),AND(AE40&gt;AE34,AE34&lt;999999),AND(AE40&gt;AE63,AE63&lt;999999)))</f>
        <v>1</v>
      </c>
      <c r="AN40" s="108"/>
      <c r="AO40" s="37"/>
      <c r="AR40" s="37"/>
      <c r="AS40" s="37"/>
      <c r="AT40" s="37"/>
      <c r="AU40" s="37"/>
      <c r="AV40" s="37"/>
      <c r="AX40" s="37"/>
      <c r="BA40" s="336">
        <f ca="1" t="shared" si="0"/>
      </c>
      <c r="BB40" s="336">
        <f ca="1" t="shared" si="72"/>
      </c>
      <c r="BC40" s="336">
        <f ca="1" t="shared" si="72"/>
      </c>
      <c r="BD40" s="336">
        <f ca="1" t="shared" si="72"/>
      </c>
      <c r="BE40" s="336">
        <f aca="true" ca="1" t="shared" si="99" ref="BE40:BO45">IF($AE40=BE$1,CELL("row",$AE40),"")</f>
      </c>
      <c r="BF40" s="336">
        <f ca="1" t="shared" si="99"/>
      </c>
      <c r="BG40" s="336">
        <f ca="1" t="shared" si="99"/>
      </c>
      <c r="BH40" s="336">
        <f ca="1" t="shared" si="99"/>
      </c>
      <c r="BI40" s="336">
        <f ca="1" t="shared" si="99"/>
      </c>
      <c r="BJ40" s="336">
        <f ca="1" t="shared" si="99"/>
      </c>
      <c r="BK40" s="336">
        <f ca="1" t="shared" si="99"/>
      </c>
      <c r="BL40" s="336">
        <f ca="1" t="shared" si="99"/>
      </c>
      <c r="BM40" s="336">
        <f ca="1" t="shared" si="99"/>
      </c>
      <c r="BN40" s="336">
        <f ca="1" t="shared" si="99"/>
      </c>
      <c r="BO40" s="336">
        <f ca="1" t="shared" si="99"/>
      </c>
      <c r="BQ40" s="176">
        <f t="shared" si="84"/>
        <v>0</v>
      </c>
      <c r="BR40" s="320">
        <f t="shared" si="85"/>
      </c>
      <c r="BS40" s="320">
        <f t="shared" si="86"/>
      </c>
      <c r="BT40" s="153"/>
      <c r="BU40" s="176">
        <f t="shared" si="87"/>
        <v>0</v>
      </c>
      <c r="BV40" s="320">
        <f t="shared" si="88"/>
      </c>
      <c r="BW40" s="320">
        <f t="shared" si="89"/>
      </c>
      <c r="BX40" s="153"/>
      <c r="BY40" s="176">
        <f t="shared" si="90"/>
        <v>0</v>
      </c>
      <c r="BZ40" s="320">
        <f t="shared" si="91"/>
      </c>
      <c r="CA40" s="320">
        <f t="shared" si="92"/>
      </c>
    </row>
    <row r="41" spans="2:79" ht="13.5" customHeight="1">
      <c r="B41" s="130">
        <f t="shared" si="93"/>
      </c>
      <c r="C41" s="39">
        <f t="shared" si="78"/>
      </c>
      <c r="D41" s="43">
        <f t="shared" si="79"/>
      </c>
      <c r="E41" s="153">
        <f t="shared" si="94"/>
      </c>
      <c r="F41" s="130">
        <f t="shared" si="95"/>
      </c>
      <c r="G41" s="39">
        <f t="shared" si="80"/>
      </c>
      <c r="H41" s="43">
        <f t="shared" si="81"/>
      </c>
      <c r="I41" s="153">
        <f t="shared" si="96"/>
      </c>
      <c r="J41" s="130">
        <f t="shared" si="97"/>
      </c>
      <c r="K41" s="39">
        <f t="shared" si="82"/>
      </c>
      <c r="L41" s="43">
        <f t="shared" si="83"/>
      </c>
      <c r="M41" s="153">
        <f t="shared" si="98"/>
      </c>
      <c r="N41" s="380"/>
      <c r="O41" s="69"/>
      <c r="P41" s="75"/>
      <c r="Q41" s="97"/>
      <c r="R41" s="238" t="s">
        <v>174</v>
      </c>
      <c r="S41" s="238">
        <f>IF(LEFT(Q41,1)="a",4,IF(LEFT(Q41,1)="b",3,IF(LEFT(Q41,1)="c",2,IF(LEFT(Q41,1)="d",1,0))))*X41</f>
        <v>0</v>
      </c>
      <c r="T41" s="238">
        <f t="shared" si="66"/>
      </c>
      <c r="U41" s="238">
        <f t="shared" si="67"/>
        <v>0</v>
      </c>
      <c r="V41" s="238">
        <f t="shared" si="68"/>
      </c>
      <c r="W41" s="34" t="s">
        <v>18</v>
      </c>
      <c r="X41" s="7">
        <v>3</v>
      </c>
      <c r="Y41" s="9" t="s">
        <v>19</v>
      </c>
      <c r="Z41" s="16" t="s">
        <v>278</v>
      </c>
      <c r="AD41" s="1">
        <v>41</v>
      </c>
      <c r="AE41" s="320">
        <f t="shared" si="2"/>
        <v>2000000</v>
      </c>
      <c r="AF41" s="336"/>
      <c r="AG41" s="39" t="str">
        <f t="shared" si="73"/>
        <v>MAE 371</v>
      </c>
      <c r="AH41" s="328">
        <f t="shared" si="74"/>
        <v>3</v>
      </c>
      <c r="AI41" s="320">
        <f t="shared" si="75"/>
        <v>0</v>
      </c>
      <c r="AJ41" s="294">
        <f>IF(AN41="y",AG41,IF(AE41=10101,AG41,IF(AE41&gt;999999,"",IF(AE41&lt;=AF34,"PREREQ ERROR_MAE 110 or 111",IF(AE41&lt;=AE35,"PREREQ ERROR_MAE 200",IF(AE41&lt;=AE36,"PREREQ ERROR_MAE 272",IF(AE41&lt;=AE40,"PREREQ ERROR_MAE 370",AG41)))))))</f>
      </c>
      <c r="AK41" s="158" t="b">
        <f t="shared" si="76"/>
        <v>0</v>
      </c>
      <c r="AL41" s="320">
        <f t="shared" si="77"/>
        <v>2000000</v>
      </c>
      <c r="AM41" s="322"/>
      <c r="AN41" s="108"/>
      <c r="AO41" s="37"/>
      <c r="AR41" s="37"/>
      <c r="AT41" s="37"/>
      <c r="AV41" s="37"/>
      <c r="AX41" s="37"/>
      <c r="BA41" s="336">
        <f ca="1" t="shared" si="0"/>
      </c>
      <c r="BB41" s="336">
        <f ca="1" t="shared" si="72"/>
      </c>
      <c r="BC41" s="336">
        <f ca="1" t="shared" si="72"/>
      </c>
      <c r="BD41" s="336">
        <f ca="1" t="shared" si="72"/>
      </c>
      <c r="BE41" s="336">
        <f ca="1" t="shared" si="99"/>
      </c>
      <c r="BF41" s="336">
        <f ca="1" t="shared" si="99"/>
      </c>
      <c r="BG41" s="336">
        <f ca="1" t="shared" si="99"/>
      </c>
      <c r="BH41" s="336">
        <f ca="1" t="shared" si="99"/>
      </c>
      <c r="BI41" s="336">
        <f ca="1" t="shared" si="99"/>
      </c>
      <c r="BJ41" s="336">
        <f ca="1" t="shared" si="99"/>
      </c>
      <c r="BK41" s="336">
        <f ca="1" t="shared" si="99"/>
      </c>
      <c r="BL41" s="336">
        <f ca="1" t="shared" si="99"/>
      </c>
      <c r="BM41" s="336">
        <f ca="1" t="shared" si="99"/>
      </c>
      <c r="BN41" s="336">
        <f ca="1" t="shared" si="99"/>
      </c>
      <c r="BO41" s="336">
        <f ca="1" t="shared" si="99"/>
      </c>
      <c r="BQ41" s="176">
        <f t="shared" si="84"/>
        <v>0</v>
      </c>
      <c r="BR41" s="320">
        <f t="shared" si="85"/>
      </c>
      <c r="BS41" s="320">
        <f t="shared" si="86"/>
      </c>
      <c r="BT41" s="153"/>
      <c r="BU41" s="176">
        <f t="shared" si="87"/>
        <v>0</v>
      </c>
      <c r="BV41" s="320">
        <f t="shared" si="88"/>
      </c>
      <c r="BW41" s="320">
        <f t="shared" si="89"/>
      </c>
      <c r="BX41" s="153"/>
      <c r="BY41" s="176">
        <f t="shared" si="90"/>
        <v>0</v>
      </c>
      <c r="BZ41" s="320">
        <f t="shared" si="91"/>
      </c>
      <c r="CA41" s="320">
        <f t="shared" si="92"/>
      </c>
    </row>
    <row r="42" spans="2:79" ht="13.5" customHeight="1">
      <c r="B42" s="130">
        <f t="shared" si="93"/>
      </c>
      <c r="C42" s="39">
        <f t="shared" si="78"/>
      </c>
      <c r="D42" s="43">
        <f t="shared" si="79"/>
      </c>
      <c r="E42" s="153">
        <f t="shared" si="94"/>
      </c>
      <c r="F42" s="130">
        <f t="shared" si="95"/>
      </c>
      <c r="G42" s="39">
        <f t="shared" si="80"/>
      </c>
      <c r="H42" s="43">
        <f t="shared" si="81"/>
      </c>
      <c r="I42" s="153">
        <f t="shared" si="96"/>
      </c>
      <c r="J42" s="130">
        <f t="shared" si="97"/>
      </c>
      <c r="K42" s="39">
        <f t="shared" si="82"/>
      </c>
      <c r="L42" s="43">
        <f t="shared" si="83"/>
      </c>
      <c r="M42" s="153">
        <f t="shared" si="98"/>
      </c>
      <c r="N42" s="380"/>
      <c r="O42" s="69"/>
      <c r="P42" s="75"/>
      <c r="Q42" s="97"/>
      <c r="R42" s="238" t="s">
        <v>174</v>
      </c>
      <c r="S42" s="238">
        <f>IF(LEFT(Q42,1)="a",4,IF(LEFT(Q42,1)="b",3,IF(LEFT(Q42,1)="c",2,IF(LEFT(Q42,1)="d",1,0))))*X42</f>
        <v>0</v>
      </c>
      <c r="T42" s="238">
        <f t="shared" si="66"/>
      </c>
      <c r="U42" s="238">
        <f t="shared" si="67"/>
        <v>0</v>
      </c>
      <c r="V42" s="238">
        <f t="shared" si="68"/>
      </c>
      <c r="W42" s="34" t="s">
        <v>100</v>
      </c>
      <c r="X42" s="7">
        <v>3</v>
      </c>
      <c r="Y42" s="18" t="s">
        <v>229</v>
      </c>
      <c r="Z42" s="16" t="s">
        <v>291</v>
      </c>
      <c r="AD42" s="1">
        <v>42</v>
      </c>
      <c r="AE42" s="320">
        <f t="shared" si="2"/>
        <v>2000000</v>
      </c>
      <c r="AF42" s="336"/>
      <c r="AG42" s="39" t="str">
        <f t="shared" si="73"/>
        <v>MAE 420</v>
      </c>
      <c r="AH42" s="328">
        <f t="shared" si="74"/>
        <v>3</v>
      </c>
      <c r="AI42" s="320">
        <f t="shared" si="75"/>
        <v>0</v>
      </c>
      <c r="AJ42" s="294">
        <f>IF(AN42="y",AG42,IF(AE42=10101,AG42,IF(AE42&gt;999999,"",IF(AE42&lt;=AE35,"PREREQ ERROR_MAE 200",IF(AE42&lt;=AE38,"PREREQ ERROR_MAE 310",IF(AE42&lt;=AE31,"PREREQ ERROR_MAE 341",AG42))))))</f>
      </c>
      <c r="AK42" s="158" t="b">
        <f t="shared" si="76"/>
        <v>0</v>
      </c>
      <c r="AL42" s="320">
        <f t="shared" si="77"/>
        <v>2000000</v>
      </c>
      <c r="AM42" s="322"/>
      <c r="AN42" s="108"/>
      <c r="AO42" s="37"/>
      <c r="AV42" s="37"/>
      <c r="BA42" s="336">
        <f ca="1" t="shared" si="0"/>
      </c>
      <c r="BB42" s="336">
        <f ca="1" t="shared" si="72"/>
      </c>
      <c r="BC42" s="336">
        <f ca="1" t="shared" si="72"/>
      </c>
      <c r="BD42" s="336">
        <f ca="1" t="shared" si="72"/>
      </c>
      <c r="BE42" s="336">
        <f ca="1" t="shared" si="99"/>
      </c>
      <c r="BF42" s="336">
        <f ca="1" t="shared" si="99"/>
      </c>
      <c r="BG42" s="336">
        <f ca="1" t="shared" si="99"/>
      </c>
      <c r="BH42" s="336">
        <f ca="1" t="shared" si="99"/>
      </c>
      <c r="BI42" s="336">
        <f ca="1" t="shared" si="99"/>
      </c>
      <c r="BJ42" s="336">
        <f ca="1" t="shared" si="99"/>
      </c>
      <c r="BK42" s="336">
        <f ca="1" t="shared" si="99"/>
      </c>
      <c r="BL42" s="336">
        <f ca="1" t="shared" si="99"/>
      </c>
      <c r="BM42" s="336">
        <f ca="1" t="shared" si="99"/>
      </c>
      <c r="BN42" s="336">
        <f ca="1" t="shared" si="99"/>
      </c>
      <c r="BO42" s="336">
        <f ca="1" t="shared" si="99"/>
      </c>
      <c r="BQ42" s="176">
        <f t="shared" si="84"/>
        <v>0</v>
      </c>
      <c r="BR42" s="320">
        <f t="shared" si="85"/>
      </c>
      <c r="BS42" s="320">
        <f t="shared" si="86"/>
      </c>
      <c r="BT42" s="153"/>
      <c r="BU42" s="176">
        <f t="shared" si="87"/>
        <v>0</v>
      </c>
      <c r="BV42" s="320">
        <f t="shared" si="88"/>
      </c>
      <c r="BW42" s="320">
        <f t="shared" si="89"/>
      </c>
      <c r="BX42" s="153"/>
      <c r="BY42" s="176">
        <f t="shared" si="90"/>
        <v>0</v>
      </c>
      <c r="BZ42" s="320">
        <f t="shared" si="91"/>
      </c>
      <c r="CA42" s="320">
        <f t="shared" si="92"/>
      </c>
    </row>
    <row r="43" spans="2:79" ht="13.5" customHeight="1" thickBot="1">
      <c r="B43" s="369">
        <f t="shared" si="93"/>
      </c>
      <c r="C43" s="370">
        <f t="shared" si="78"/>
      </c>
      <c r="D43" s="371">
        <f t="shared" si="79"/>
      </c>
      <c r="E43" s="153">
        <f t="shared" si="94"/>
      </c>
      <c r="F43" s="369">
        <f t="shared" si="95"/>
      </c>
      <c r="G43" s="370">
        <f t="shared" si="80"/>
      </c>
      <c r="H43" s="371">
        <f t="shared" si="81"/>
      </c>
      <c r="I43" s="153">
        <f t="shared" si="96"/>
      </c>
      <c r="J43" s="369">
        <f t="shared" si="97"/>
      </c>
      <c r="K43" s="370">
        <f t="shared" si="82"/>
      </c>
      <c r="L43" s="371">
        <f t="shared" si="83"/>
      </c>
      <c r="M43" s="153">
        <f t="shared" si="98"/>
      </c>
      <c r="N43" s="380"/>
      <c r="O43" s="79"/>
      <c r="P43" s="81"/>
      <c r="Q43" s="96"/>
      <c r="R43" s="237" t="s">
        <v>174</v>
      </c>
      <c r="S43" s="237">
        <f>IF(LEFT(Q43,1)="a",4,IF(LEFT(Q43,1)="b",3,IF(LEFT(Q43,1)="c",2,IF(LEFT(Q43,1)="d",1,0))))*X43</f>
        <v>0</v>
      </c>
      <c r="T43" s="237">
        <f t="shared" si="66"/>
      </c>
      <c r="U43" s="237">
        <f t="shared" si="67"/>
        <v>0</v>
      </c>
      <c r="V43" s="237">
        <f t="shared" si="68"/>
      </c>
      <c r="W43" s="290" t="s">
        <v>20</v>
      </c>
      <c r="X43" s="8">
        <v>3</v>
      </c>
      <c r="Y43" s="29" t="s">
        <v>21</v>
      </c>
      <c r="Z43" s="17" t="s">
        <v>86</v>
      </c>
      <c r="AD43" s="1">
        <v>43</v>
      </c>
      <c r="AE43" s="320">
        <f t="shared" si="2"/>
        <v>2000000</v>
      </c>
      <c r="AF43" s="336"/>
      <c r="AG43" s="39" t="str">
        <f t="shared" si="73"/>
        <v>MAE 430</v>
      </c>
      <c r="AH43" s="328">
        <f t="shared" si="74"/>
        <v>3</v>
      </c>
      <c r="AI43" s="320">
        <f t="shared" si="75"/>
        <v>0</v>
      </c>
      <c r="AJ43" s="294">
        <f>IF(AN43="y",AG43,IF(AE43=10101,AG43,IF(AE43&gt;999999,"",IF(AE43&lt;=AE35,"PREREQ ERROR_MAE 200",IF(AE43&lt;=AE38,"PREREQ ERROR_MAE 310",IF(AE43&lt;=AE31,"PREREQ ERROR_MAE 341",AG43))))))</f>
      </c>
      <c r="AK43" s="158" t="b">
        <f t="shared" si="76"/>
        <v>0</v>
      </c>
      <c r="AL43" s="320">
        <f t="shared" si="77"/>
        <v>2000000</v>
      </c>
      <c r="AM43" s="322"/>
      <c r="AN43" s="108"/>
      <c r="AO43" s="37"/>
      <c r="AV43" s="37"/>
      <c r="BA43" s="336">
        <f ca="1" t="shared" si="0"/>
      </c>
      <c r="BB43" s="336">
        <f ca="1" t="shared" si="72"/>
      </c>
      <c r="BC43" s="336">
        <f ca="1" t="shared" si="72"/>
      </c>
      <c r="BD43" s="336">
        <f ca="1" t="shared" si="72"/>
      </c>
      <c r="BE43" s="336">
        <f ca="1" t="shared" si="99"/>
      </c>
      <c r="BF43" s="336">
        <f ca="1" t="shared" si="99"/>
      </c>
      <c r="BG43" s="336">
        <f ca="1" t="shared" si="99"/>
      </c>
      <c r="BH43" s="336">
        <f ca="1" t="shared" si="99"/>
      </c>
      <c r="BI43" s="336">
        <f ca="1" t="shared" si="99"/>
      </c>
      <c r="BJ43" s="336">
        <f ca="1" t="shared" si="99"/>
      </c>
      <c r="BK43" s="336">
        <f ca="1" t="shared" si="99"/>
      </c>
      <c r="BL43" s="336">
        <f ca="1" t="shared" si="99"/>
      </c>
      <c r="BM43" s="336">
        <f ca="1" t="shared" si="99"/>
      </c>
      <c r="BN43" s="336">
        <f ca="1" t="shared" si="99"/>
      </c>
      <c r="BO43" s="336">
        <f ca="1" t="shared" si="99"/>
      </c>
      <c r="BQ43" s="176">
        <f t="shared" si="84"/>
        <v>0</v>
      </c>
      <c r="BR43" s="320">
        <f t="shared" si="85"/>
      </c>
      <c r="BS43" s="320">
        <f t="shared" si="86"/>
      </c>
      <c r="BT43" s="153"/>
      <c r="BU43" s="176">
        <f t="shared" si="87"/>
        <v>0</v>
      </c>
      <c r="BV43" s="320">
        <f t="shared" si="88"/>
      </c>
      <c r="BW43" s="320">
        <f t="shared" si="89"/>
      </c>
      <c r="BX43" s="153"/>
      <c r="BY43" s="176">
        <f t="shared" si="90"/>
        <v>0</v>
      </c>
      <c r="BZ43" s="320">
        <f t="shared" si="91"/>
      </c>
      <c r="CA43" s="320">
        <f t="shared" si="92"/>
      </c>
    </row>
    <row r="44" spans="2:79" ht="13.5" customHeight="1" thickBot="1" thickTop="1">
      <c r="B44" s="372">
        <f>IF(BQ44&lt;&gt;0,"Excess "&amp;BQ44,"")</f>
      </c>
      <c r="C44" s="373">
        <f>SUM(C37:C43)</f>
        <v>0</v>
      </c>
      <c r="D44" s="374"/>
      <c r="E44" s="153"/>
      <c r="F44" s="372">
        <f>IF(BU44&lt;&gt;0,"Excess "&amp;BU44,"")</f>
      </c>
      <c r="G44" s="373">
        <f>SUM(G37:G43)</f>
        <v>0</v>
      </c>
      <c r="H44" s="374"/>
      <c r="I44" s="153"/>
      <c r="J44" s="372">
        <f>IF(BY44&lt;&gt;0,"Excess "&amp;BY44,"")</f>
      </c>
      <c r="K44" s="373">
        <f>SUM(K37:K43)</f>
        <v>0</v>
      </c>
      <c r="L44" s="374"/>
      <c r="M44" s="153"/>
      <c r="N44" s="380"/>
      <c r="O44" s="143" t="s">
        <v>243</v>
      </c>
      <c r="P44" s="144"/>
      <c r="Q44" s="144"/>
      <c r="R44" s="232"/>
      <c r="S44" s="305"/>
      <c r="T44" s="305"/>
      <c r="U44" s="305"/>
      <c r="V44" s="305"/>
      <c r="W44" s="144"/>
      <c r="X44" s="144"/>
      <c r="Y44" s="145"/>
      <c r="Z44" s="296" t="s">
        <v>55</v>
      </c>
      <c r="AD44" s="1">
        <v>44</v>
      </c>
      <c r="AE44" s="320">
        <f t="shared" si="2"/>
        <v>2000000</v>
      </c>
      <c r="AF44" s="336"/>
      <c r="AG44" s="39" t="str">
        <f t="shared" si="73"/>
        <v>MAE 440</v>
      </c>
      <c r="AH44" s="328">
        <f t="shared" si="74"/>
        <v>3</v>
      </c>
      <c r="AI44" s="320">
        <f t="shared" si="75"/>
        <v>0</v>
      </c>
      <c r="AJ44" s="294">
        <f>IF(AN44="y",AG44,IF(AE44=10101,AG44,IF(AE44&gt;999999,"",IF(AE44&lt;=AE42,"PREREQ ERROR_MAE 420",IF(AE45&lt;999999,"ERROR PICK either MAE 440 or 441",AG44)))))</f>
      </c>
      <c r="AK44" s="158" t="b">
        <f t="shared" si="76"/>
        <v>0</v>
      </c>
      <c r="AL44" s="320">
        <f t="shared" si="77"/>
        <v>2000000</v>
      </c>
      <c r="AM44" s="139" t="b">
        <f>OR(AE44&lt;999999,AE45&lt;999999)</f>
        <v>0</v>
      </c>
      <c r="AN44" s="108"/>
      <c r="AO44" s="37" t="b">
        <f>AND(AE44&gt;999999,AM$44)</f>
        <v>0</v>
      </c>
      <c r="BA44" s="336">
        <f ca="1" t="shared" si="0"/>
      </c>
      <c r="BB44" s="336">
        <f ca="1" t="shared" si="72"/>
      </c>
      <c r="BC44" s="336">
        <f ca="1" t="shared" si="72"/>
      </c>
      <c r="BD44" s="336">
        <f ca="1" t="shared" si="72"/>
      </c>
      <c r="BE44" s="336">
        <f ca="1" t="shared" si="99"/>
      </c>
      <c r="BF44" s="336">
        <f ca="1" t="shared" si="99"/>
      </c>
      <c r="BG44" s="336">
        <f ca="1" t="shared" si="99"/>
      </c>
      <c r="BH44" s="336">
        <f ca="1" t="shared" si="99"/>
      </c>
      <c r="BI44" s="336">
        <f ca="1" t="shared" si="99"/>
      </c>
      <c r="BJ44" s="336">
        <f ca="1" t="shared" si="99"/>
      </c>
      <c r="BK44" s="336">
        <f ca="1" t="shared" si="99"/>
      </c>
      <c r="BL44" s="336">
        <f ca="1" t="shared" si="99"/>
      </c>
      <c r="BM44" s="336">
        <f ca="1" t="shared" si="99"/>
      </c>
      <c r="BN44" s="336">
        <f ca="1" t="shared" si="99"/>
      </c>
      <c r="BO44" s="336">
        <f ca="1" t="shared" si="99"/>
      </c>
      <c r="BQ44" s="176">
        <f t="shared" si="84"/>
        <v>0</v>
      </c>
      <c r="BR44" s="320">
        <f t="shared" si="85"/>
      </c>
      <c r="BS44" s="320">
        <f t="shared" si="86"/>
      </c>
      <c r="BT44" s="153"/>
      <c r="BU44" s="176">
        <f t="shared" si="87"/>
        <v>0</v>
      </c>
      <c r="BV44" s="320">
        <f t="shared" si="88"/>
      </c>
      <c r="BW44" s="320">
        <f t="shared" si="89"/>
      </c>
      <c r="BX44" s="153"/>
      <c r="BY44" s="176">
        <f t="shared" si="90"/>
        <v>0</v>
      </c>
      <c r="BZ44" s="320">
        <f t="shared" si="91"/>
      </c>
      <c r="CA44" s="320">
        <f t="shared" si="92"/>
      </c>
    </row>
    <row r="45" spans="2:77" ht="13.5" customHeight="1">
      <c r="B45" s="138"/>
      <c r="C45" s="152" t="s">
        <v>137</v>
      </c>
      <c r="D45" s="154">
        <f>IF(SUMIF(E37:E43,"&gt;=0",C37:C43)&gt;0,SUM(E37:E43)/SUMIF(E37:E43,"&gt;=0",C37:C43),"")</f>
      </c>
      <c r="E45" s="153"/>
      <c r="F45" s="139"/>
      <c r="G45" s="152" t="s">
        <v>137</v>
      </c>
      <c r="H45" s="154">
        <f>IF(SUMIF(I37:I43,"&gt;=0",G37:G43)&gt;0,SUM(I37:I43)/SUMIF(I37:I43,"&gt;=0",G37:G43),"")</f>
      </c>
      <c r="I45" s="153"/>
      <c r="J45" s="139"/>
      <c r="K45" s="152" t="s">
        <v>137</v>
      </c>
      <c r="L45" s="154">
        <f>IF(SUMIF(M37:M43,"&gt;=0",K37:K43)&gt;0,SUM(M37:M43)/SUMIF(M37:M43,"&gt;=0",K37:K43),"")</f>
      </c>
      <c r="M45" s="153"/>
      <c r="N45" s="156" t="b">
        <f>AE27&lt;999999</f>
        <v>0</v>
      </c>
      <c r="O45" s="95"/>
      <c r="P45" s="85"/>
      <c r="Q45" s="106"/>
      <c r="R45" s="297" t="s">
        <v>174</v>
      </c>
      <c r="S45" s="236">
        <f t="shared" si="39"/>
        <v>0</v>
      </c>
      <c r="T45" s="236">
        <f t="shared" si="40"/>
      </c>
      <c r="U45" s="236">
        <f t="shared" si="41"/>
        <v>0</v>
      </c>
      <c r="V45" s="236">
        <f t="shared" si="42"/>
      </c>
      <c r="W45" s="47" t="s">
        <v>212</v>
      </c>
      <c r="X45" s="48">
        <v>3</v>
      </c>
      <c r="Y45" s="62" t="s">
        <v>238</v>
      </c>
      <c r="Z45" s="298" t="s">
        <v>280</v>
      </c>
      <c r="AA45" s="10"/>
      <c r="AD45" s="1">
        <v>45</v>
      </c>
      <c r="AE45" s="320">
        <f t="shared" si="2"/>
        <v>2000000</v>
      </c>
      <c r="AF45" s="336"/>
      <c r="AG45" s="39" t="str">
        <f t="shared" si="73"/>
        <v>MAE 441</v>
      </c>
      <c r="AH45" s="328">
        <f t="shared" si="74"/>
        <v>3</v>
      </c>
      <c r="AI45" s="320">
        <f t="shared" si="75"/>
        <v>0</v>
      </c>
      <c r="AJ45" s="294">
        <f>IF(AN45="y",AG45,IF(AE45=10101,AG45,IF(AE45&gt;999999,"",IF(AE45&lt;=AE42,"PREREQ ERROR_MAE 420",IF(AE44&lt;999999,"ERROR PICK either MAE 440 or 441",AG45)))))</f>
      </c>
      <c r="AK45" s="158" t="b">
        <f t="shared" si="76"/>
        <v>0</v>
      </c>
      <c r="AL45" s="320">
        <f t="shared" si="77"/>
        <v>2000000</v>
      </c>
      <c r="AM45" s="322"/>
      <c r="AN45" s="108"/>
      <c r="AO45" s="37" t="b">
        <f>AND(AE45&gt;999999,AM$44)</f>
        <v>0</v>
      </c>
      <c r="BA45" s="336">
        <f ca="1" t="shared" si="0"/>
      </c>
      <c r="BB45" s="336">
        <f ca="1" t="shared" si="72"/>
      </c>
      <c r="BC45" s="336">
        <f ca="1" t="shared" si="72"/>
      </c>
      <c r="BD45" s="336">
        <f ca="1" t="shared" si="72"/>
      </c>
      <c r="BE45" s="336">
        <f ca="1" t="shared" si="99"/>
      </c>
      <c r="BF45" s="336">
        <f ca="1" t="shared" si="99"/>
      </c>
      <c r="BG45" s="336">
        <f ca="1" t="shared" si="99"/>
      </c>
      <c r="BH45" s="336">
        <f ca="1" t="shared" si="99"/>
      </c>
      <c r="BI45" s="336">
        <f ca="1" t="shared" si="99"/>
      </c>
      <c r="BJ45" s="336">
        <f ca="1" t="shared" si="99"/>
      </c>
      <c r="BK45" s="336">
        <f ca="1" t="shared" si="99"/>
      </c>
      <c r="BL45" s="336">
        <f ca="1" t="shared" si="99"/>
      </c>
      <c r="BM45" s="336">
        <f ca="1" t="shared" si="99"/>
      </c>
      <c r="BN45" s="336">
        <f ca="1" t="shared" si="99"/>
      </c>
      <c r="BO45" s="336">
        <f ca="1" t="shared" si="99"/>
      </c>
      <c r="BQ45" s="138"/>
      <c r="BT45" s="153"/>
      <c r="BU45" s="139"/>
      <c r="BX45" s="153"/>
      <c r="BY45" s="139"/>
    </row>
    <row r="46" spans="2:67" ht="13.5" customHeight="1" thickBot="1">
      <c r="B46" s="36"/>
      <c r="C46" s="36"/>
      <c r="D46" s="36"/>
      <c r="E46" s="153"/>
      <c r="F46" s="124"/>
      <c r="G46" s="36"/>
      <c r="H46" s="36"/>
      <c r="I46" s="153"/>
      <c r="J46" s="36"/>
      <c r="K46" s="36"/>
      <c r="L46" s="36"/>
      <c r="M46" s="153"/>
      <c r="O46" s="97"/>
      <c r="P46" s="78"/>
      <c r="Q46" s="99"/>
      <c r="R46" s="246" t="s">
        <v>174</v>
      </c>
      <c r="S46" s="238">
        <f t="shared" si="39"/>
        <v>0</v>
      </c>
      <c r="T46" s="238">
        <f t="shared" si="40"/>
      </c>
      <c r="U46" s="238">
        <f t="shared" si="41"/>
        <v>0</v>
      </c>
      <c r="V46" s="238">
        <f t="shared" si="42"/>
      </c>
      <c r="W46" s="51" t="s">
        <v>57</v>
      </c>
      <c r="X46" s="15">
        <v>3</v>
      </c>
      <c r="Y46" s="18" t="s">
        <v>237</v>
      </c>
      <c r="Z46" s="16" t="s">
        <v>280</v>
      </c>
      <c r="AA46" s="256"/>
      <c r="AD46" s="1">
        <v>46</v>
      </c>
      <c r="AE46" s="320">
        <f t="shared" si="2"/>
        <v>2000000</v>
      </c>
      <c r="AF46" s="336"/>
      <c r="AG46" s="39" t="str">
        <f t="shared" si="73"/>
        <v>MAE 468</v>
      </c>
      <c r="AH46" s="328">
        <f t="shared" si="74"/>
        <v>3</v>
      </c>
      <c r="AI46" s="320">
        <f t="shared" si="75"/>
        <v>0</v>
      </c>
      <c r="AJ46" s="294">
        <f>IF(AN46="y",AG46,IF(AE46=10101,AG46,IF(AE46&gt;999999,"",IF(AE46&lt;=AE36,"PREREQ ERROR_MAE 272",IF(AE46&lt;=AE41,"PREREQ ERROR_MAE 371",IF(AE46&lt;AE42,"PREREQ w/Con ERROR_MAE 420",AG46))))))</f>
      </c>
      <c r="AK46" s="158" t="b">
        <f t="shared" si="76"/>
        <v>0</v>
      </c>
      <c r="AL46" s="320">
        <f t="shared" si="77"/>
        <v>2000000</v>
      </c>
      <c r="AM46" s="322"/>
      <c r="AN46" s="108"/>
      <c r="AO46" s="37"/>
      <c r="BA46" s="336">
        <f ca="1" t="shared" si="0"/>
      </c>
      <c r="BB46" s="336">
        <f ca="1" t="shared" si="72"/>
      </c>
      <c r="BC46" s="336">
        <f ca="1" t="shared" si="72"/>
      </c>
      <c r="BD46" s="336">
        <f ca="1" t="shared" si="72"/>
      </c>
      <c r="BE46" s="336">
        <f aca="true" ca="1" t="shared" si="100" ref="BE46:BJ46">IF($AE46=BE$1,CELL("row",$AE46),"")</f>
      </c>
      <c r="BF46" s="336">
        <f ca="1" t="shared" si="100"/>
      </c>
      <c r="BG46" s="336">
        <f ca="1" t="shared" si="100"/>
      </c>
      <c r="BH46" s="336">
        <f ca="1" t="shared" si="100"/>
      </c>
      <c r="BI46" s="336">
        <f ca="1" t="shared" si="100"/>
      </c>
      <c r="BJ46" s="336">
        <f ca="1" t="shared" si="100"/>
      </c>
      <c r="BK46" s="336">
        <f aca="true" ca="1" t="shared" si="101" ref="BB46:BO64">IF($AE46=BK$1,CELL("row",$AE46),"")</f>
      </c>
      <c r="BL46" s="336">
        <f ca="1" t="shared" si="101"/>
      </c>
      <c r="BM46" s="336">
        <f ca="1" t="shared" si="101"/>
      </c>
      <c r="BN46" s="336">
        <f ca="1" t="shared" si="101"/>
      </c>
      <c r="BO46" s="336">
        <f ca="1" t="shared" si="101"/>
      </c>
    </row>
    <row r="47" spans="2:79" ht="13.5" customHeight="1" thickBot="1">
      <c r="B47" s="394" t="str">
        <f>IF(OR($D$5="Spring",$D$5="Summer"),"Fall"&amp;" "&amp;$E$5+2,IF($D$5="Fall","Fall"&amp;" "&amp;$E$5+3,""))</f>
        <v>Fall 2016</v>
      </c>
      <c r="C47" s="395"/>
      <c r="D47" s="396"/>
      <c r="E47" s="156">
        <f>IF(LEFT(B47,2)="Sp",1,IF(LEFT(B47,2)="Su",5,9))+VALUE(RIGHT(B47,4))*100</f>
        <v>201609</v>
      </c>
      <c r="F47" s="394" t="str">
        <f>IF(F11="Spring"&amp;" "&amp;E5+1,"Spring"&amp;" "&amp;E5+4,"Spring"&amp;" "&amp;E5+3)</f>
        <v>Spring 2017</v>
      </c>
      <c r="G47" s="395"/>
      <c r="H47" s="396"/>
      <c r="I47" s="156">
        <f>IF(LEFT(F47,2)="Sp",1,IF(LEFT(F47,2)="Su",5,9))+VALUE(RIGHT(F47,4))*100</f>
        <v>201701</v>
      </c>
      <c r="J47" s="394" t="str">
        <f>IF(J11="Summer"&amp;" "&amp;E5+1,"Summer"&amp;" "&amp;E5+4,"Summer"&amp;" "&amp;E5+3)</f>
        <v>Summer 2017</v>
      </c>
      <c r="K47" s="395"/>
      <c r="L47" s="396"/>
      <c r="M47" s="156">
        <f>IF(LEFT(J47,2)="Sp",1,IF(LEFT(J47,2)="Su",5,9))+VALUE(RIGHT(J47,4))*100</f>
        <v>201705</v>
      </c>
      <c r="O47" s="97"/>
      <c r="P47" s="78"/>
      <c r="Q47" s="99"/>
      <c r="R47" s="246" t="s">
        <v>174</v>
      </c>
      <c r="S47" s="238">
        <f t="shared" si="39"/>
        <v>0</v>
      </c>
      <c r="T47" s="238">
        <f t="shared" si="40"/>
      </c>
      <c r="U47" s="238">
        <f t="shared" si="41"/>
        <v>0</v>
      </c>
      <c r="V47" s="238">
        <f t="shared" si="42"/>
      </c>
      <c r="W47" s="92" t="s">
        <v>25</v>
      </c>
      <c r="X47" s="7">
        <v>3</v>
      </c>
      <c r="Y47" s="9" t="s">
        <v>26</v>
      </c>
      <c r="Z47" s="16" t="s">
        <v>272</v>
      </c>
      <c r="AD47" s="1">
        <v>47</v>
      </c>
      <c r="AE47" s="320">
        <f t="shared" si="2"/>
        <v>2000000</v>
      </c>
      <c r="AF47" s="336"/>
      <c r="AG47" s="39" t="str">
        <f t="shared" si="73"/>
        <v>MAE 471</v>
      </c>
      <c r="AH47" s="328">
        <f t="shared" si="74"/>
        <v>3</v>
      </c>
      <c r="AI47" s="320">
        <f t="shared" si="75"/>
        <v>0</v>
      </c>
      <c r="AJ47" s="294">
        <f>IF(AN47="y",AG47,IF(AE47=10101,AG47,IF(AE47&gt;999999,"",IF(AE47&lt;=AE39,"PREREQ ERROR_MAE 311",IF(AE47&lt;=AE41,"PREREQ ERROR_MAE 371",AG47)))))</f>
      </c>
      <c r="AK47" s="158" t="b">
        <f t="shared" si="76"/>
        <v>0</v>
      </c>
      <c r="AL47" s="320">
        <f t="shared" si="77"/>
        <v>2000000</v>
      </c>
      <c r="AM47" s="322"/>
      <c r="AN47" s="108"/>
      <c r="AO47" s="37"/>
      <c r="BA47" s="336">
        <f ca="1" t="shared" si="0"/>
      </c>
      <c r="BB47" s="336">
        <f ca="1" t="shared" si="101"/>
      </c>
      <c r="BC47" s="336">
        <f ca="1" t="shared" si="101"/>
      </c>
      <c r="BD47" s="336">
        <f ca="1" t="shared" si="101"/>
      </c>
      <c r="BE47" s="336">
        <f ca="1" t="shared" si="101"/>
      </c>
      <c r="BF47" s="336">
        <f ca="1" t="shared" si="101"/>
      </c>
      <c r="BG47" s="336">
        <f ca="1" t="shared" si="101"/>
      </c>
      <c r="BH47" s="336">
        <f ca="1" t="shared" si="101"/>
      </c>
      <c r="BI47" s="336">
        <f ca="1" t="shared" si="101"/>
      </c>
      <c r="BJ47" s="336">
        <f ca="1" t="shared" si="101"/>
      </c>
      <c r="BK47" s="336">
        <f ca="1" t="shared" si="101"/>
      </c>
      <c r="BL47" s="336">
        <f ca="1" t="shared" si="101"/>
      </c>
      <c r="BM47" s="336">
        <f ca="1" t="shared" si="101"/>
      </c>
      <c r="BN47" s="336">
        <f ca="1" t="shared" si="101"/>
      </c>
      <c r="BO47" s="336">
        <f ca="1" t="shared" si="101"/>
      </c>
      <c r="BQ47" s="185">
        <f>E47</f>
        <v>201609</v>
      </c>
      <c r="BR47" s="186"/>
      <c r="BS47" s="187"/>
      <c r="BT47" s="153"/>
      <c r="BU47" s="185">
        <f>I47</f>
        <v>201701</v>
      </c>
      <c r="BV47" s="186"/>
      <c r="BW47" s="187"/>
      <c r="BX47" s="153"/>
      <c r="BY47" s="185">
        <f>M47</f>
        <v>201705</v>
      </c>
      <c r="BZ47" s="186"/>
      <c r="CA47" s="187"/>
    </row>
    <row r="48" spans="2:79" ht="13.5" customHeight="1">
      <c r="B48" s="135" t="s">
        <v>2</v>
      </c>
      <c r="C48" s="136" t="s">
        <v>3</v>
      </c>
      <c r="D48" s="137" t="s">
        <v>4</v>
      </c>
      <c r="E48" s="153"/>
      <c r="F48" s="135" t="s">
        <v>2</v>
      </c>
      <c r="G48" s="136" t="s">
        <v>3</v>
      </c>
      <c r="H48" s="137" t="s">
        <v>4</v>
      </c>
      <c r="I48" s="153"/>
      <c r="J48" s="135" t="s">
        <v>2</v>
      </c>
      <c r="K48" s="136" t="s">
        <v>3</v>
      </c>
      <c r="L48" s="137" t="s">
        <v>4</v>
      </c>
      <c r="M48" s="153"/>
      <c r="O48" s="97"/>
      <c r="P48" s="78"/>
      <c r="Q48" s="99"/>
      <c r="R48" s="246" t="s">
        <v>174</v>
      </c>
      <c r="S48" s="238">
        <f t="shared" si="39"/>
        <v>0</v>
      </c>
      <c r="T48" s="238">
        <f t="shared" si="40"/>
      </c>
      <c r="U48" s="238">
        <f t="shared" si="41"/>
        <v>0</v>
      </c>
      <c r="V48" s="238">
        <f t="shared" si="42"/>
      </c>
      <c r="W48" s="51" t="s">
        <v>225</v>
      </c>
      <c r="X48" s="7">
        <v>3</v>
      </c>
      <c r="Y48" s="18" t="s">
        <v>232</v>
      </c>
      <c r="Z48" s="16" t="s">
        <v>292</v>
      </c>
      <c r="AD48" s="1">
        <v>48</v>
      </c>
      <c r="AE48" s="320">
        <f t="shared" si="2"/>
        <v>2000000</v>
      </c>
      <c r="AF48" s="336"/>
      <c r="AG48" s="39" t="str">
        <f t="shared" si="73"/>
        <v>MAE 480</v>
      </c>
      <c r="AH48" s="328">
        <f t="shared" si="74"/>
        <v>3</v>
      </c>
      <c r="AI48" s="320">
        <f t="shared" si="75"/>
        <v>0</v>
      </c>
      <c r="AJ48" s="294">
        <f>IF(AN48="y",AG48,IF(AE48=10101,AG48,IF(AE48&gt;999999,"",IF(AE48&lt;AE43,"PREREQ w/Con ERROR_MAE 430",IF(AE48&lt;AE49,"PREREQ w/Con ERROR_MAE 488",AG48)))))</f>
      </c>
      <c r="AK48" s="158" t="b">
        <f t="shared" si="76"/>
        <v>0</v>
      </c>
      <c r="AL48" s="320">
        <f t="shared" si="77"/>
        <v>2000000</v>
      </c>
      <c r="AM48" s="322"/>
      <c r="AN48" s="108"/>
      <c r="AO48" s="37"/>
      <c r="BA48" s="336">
        <f ca="1" t="shared" si="0"/>
      </c>
      <c r="BB48" s="336">
        <f ca="1" t="shared" si="101"/>
      </c>
      <c r="BC48" s="336">
        <f ca="1" t="shared" si="101"/>
      </c>
      <c r="BD48" s="336">
        <f ca="1" t="shared" si="101"/>
      </c>
      <c r="BE48" s="336">
        <f ca="1" t="shared" si="101"/>
      </c>
      <c r="BF48" s="336">
        <f ca="1" t="shared" si="101"/>
      </c>
      <c r="BG48" s="336">
        <f ca="1" t="shared" si="101"/>
      </c>
      <c r="BH48" s="336">
        <f ca="1" t="shared" si="101"/>
      </c>
      <c r="BI48" s="336">
        <f ca="1" t="shared" si="101"/>
      </c>
      <c r="BJ48" s="336">
        <f ca="1" t="shared" si="101"/>
      </c>
      <c r="BK48" s="336">
        <f ca="1" t="shared" si="101"/>
      </c>
      <c r="BL48" s="336">
        <f ca="1" t="shared" si="101"/>
      </c>
      <c r="BM48" s="336">
        <f ca="1" t="shared" si="101"/>
      </c>
      <c r="BN48" s="336">
        <f ca="1" t="shared" si="101"/>
      </c>
      <c r="BO48" s="336">
        <f ca="1" t="shared" si="101"/>
      </c>
      <c r="BQ48" s="340" t="s">
        <v>153</v>
      </c>
      <c r="BR48" s="340" t="s">
        <v>155</v>
      </c>
      <c r="BS48" s="340" t="s">
        <v>156</v>
      </c>
      <c r="BT48" s="153"/>
      <c r="BU48" s="340" t="s">
        <v>153</v>
      </c>
      <c r="BV48" s="340" t="s">
        <v>155</v>
      </c>
      <c r="BW48" s="340" t="s">
        <v>156</v>
      </c>
      <c r="BX48" s="153"/>
      <c r="BY48" s="340" t="s">
        <v>153</v>
      </c>
      <c r="BZ48" s="340" t="s">
        <v>155</v>
      </c>
      <c r="CA48" s="340" t="s">
        <v>156</v>
      </c>
    </row>
    <row r="49" spans="2:79" ht="13.5" customHeight="1">
      <c r="B49" s="130">
        <f>IF(BR49=BS49,BR49,"Error "&amp;BQ49)</f>
      </c>
      <c r="C49" s="39">
        <f aca="true" t="shared" si="102" ref="C49:C55">IF(BQ49&gt;0,INDEX(AECourses,BQ49,2),"")</f>
      </c>
      <c r="D49" s="43">
        <f aca="true" t="shared" si="103" ref="D49:D55">IF(BQ49&gt;0,INDEX(AECourses,BQ49,3),"")</f>
      </c>
      <c r="E49" s="153">
        <f>IF(LEFT(D49,1)="a",4*C49,IF(LEFT(D49,1)="b",3*C49,IF(LEFT(D49,1)="c",2*C49,IF(LEFT(D49,1)="d",C49,IF(LEFT(D49,1)="f",0,"")))))</f>
      </c>
      <c r="F49" s="130">
        <f>IF(BV49=BW49,BV49,"Error "&amp;BU49)</f>
      </c>
      <c r="G49" s="39">
        <f aca="true" t="shared" si="104" ref="G49:G55">IF(BU49&gt;0,INDEX(AECourses,BU49,2),"")</f>
      </c>
      <c r="H49" s="43">
        <f aca="true" t="shared" si="105" ref="H49:H55">IF(BU49&gt;0,INDEX(AECourses,BU49,3),"")</f>
      </c>
      <c r="I49" s="153">
        <f>IF(LEFT(H49,1)="a",4*G49,IF(LEFT(H49,1)="b",3*G49,IF(LEFT(H49,1)="c",2*G49,IF(LEFT(H49,1)="d",G49,IF(LEFT(H49,1)="f",0,"")))))</f>
      </c>
      <c r="J49" s="130">
        <f>IF(BZ49=CA49,BZ49,"Error "&amp;BY49)</f>
      </c>
      <c r="K49" s="39">
        <f aca="true" t="shared" si="106" ref="K49:K55">IF(BY49&gt;0,INDEX(AECourses,BY49,2),"")</f>
      </c>
      <c r="L49" s="43">
        <f aca="true" t="shared" si="107" ref="L49:L55">IF(BY49&gt;0,INDEX(AECourses,BY49,3),"")</f>
      </c>
      <c r="M49" s="153">
        <f>IF(LEFT(L49,1)="a",4*K49,IF(LEFT(L49,1)="b",3*K49,IF(LEFT(L49,1)="c",2*K49,IF(LEFT(L49,1)="d",K49,IF(LEFT(L49,1)="f",0,"")))))</f>
      </c>
      <c r="O49" s="97"/>
      <c r="P49" s="78"/>
      <c r="Q49" s="99"/>
      <c r="R49" s="246" t="s">
        <v>174</v>
      </c>
      <c r="S49" s="238">
        <f t="shared" si="39"/>
        <v>0</v>
      </c>
      <c r="T49" s="238">
        <f t="shared" si="40"/>
      </c>
      <c r="U49" s="238">
        <f t="shared" si="41"/>
        <v>0</v>
      </c>
      <c r="V49" s="238">
        <f t="shared" si="42"/>
      </c>
      <c r="W49" s="51" t="s">
        <v>29</v>
      </c>
      <c r="X49" s="7">
        <v>3</v>
      </c>
      <c r="Y49" s="9" t="s">
        <v>30</v>
      </c>
      <c r="Z49" s="16" t="s">
        <v>273</v>
      </c>
      <c r="AD49" s="1">
        <v>49</v>
      </c>
      <c r="AE49" s="320">
        <f t="shared" si="2"/>
        <v>2000000</v>
      </c>
      <c r="AF49" s="336"/>
      <c r="AG49" s="39" t="str">
        <f t="shared" si="73"/>
        <v>MAE 488</v>
      </c>
      <c r="AH49" s="328">
        <f t="shared" si="74"/>
        <v>3</v>
      </c>
      <c r="AI49" s="320">
        <f t="shared" si="75"/>
        <v>0</v>
      </c>
      <c r="AJ49" s="294">
        <f>IF(AN49="y",AG49,IF(AE49=10101,AG49,IF(AE49&gt;999999,"",IF(AE49&lt;=AE32,"PREREQ ERROR_EE 213",IF(AE49&lt;=AE30,"PREREQ ERROR_MAE/CE 271",IF(AM49,"PREREQ ERROR_MAE 284 or 385",AG49))))))</f>
      </c>
      <c r="AK49" s="158" t="b">
        <f t="shared" si="76"/>
        <v>0</v>
      </c>
      <c r="AL49" s="320">
        <f t="shared" si="77"/>
        <v>2000000</v>
      </c>
      <c r="AM49" s="322" t="b">
        <f>NOT(OR(AND(AE49&gt;AE37,AE37&lt;999999),AND(AE49&gt;AE29,AE29&lt;999999)))</f>
        <v>1</v>
      </c>
      <c r="AN49" s="108"/>
      <c r="AO49" s="37"/>
      <c r="BA49" s="336">
        <f ca="1" t="shared" si="0"/>
      </c>
      <c r="BB49" s="336">
        <f ca="1" t="shared" si="101"/>
      </c>
      <c r="BC49" s="336">
        <f ca="1" t="shared" si="101"/>
      </c>
      <c r="BD49" s="336">
        <f ca="1" t="shared" si="101"/>
      </c>
      <c r="BE49" s="336">
        <f ca="1" t="shared" si="101"/>
      </c>
      <c r="BF49" s="336">
        <f ca="1" t="shared" si="101"/>
      </c>
      <c r="BG49" s="336">
        <f ca="1" t="shared" si="101"/>
      </c>
      <c r="BH49" s="336">
        <f ca="1" t="shared" si="101"/>
      </c>
      <c r="BI49" s="336">
        <f ca="1" t="shared" si="101"/>
      </c>
      <c r="BJ49" s="336">
        <f ca="1" t="shared" si="101"/>
      </c>
      <c r="BK49" s="336">
        <f ca="1" t="shared" si="101"/>
      </c>
      <c r="BL49" s="336">
        <f ca="1" t="shared" si="101"/>
      </c>
      <c r="BM49" s="336">
        <f ca="1" t="shared" si="101"/>
      </c>
      <c r="BN49" s="336">
        <f ca="1" t="shared" si="101"/>
      </c>
      <c r="BO49" s="336">
        <f ca="1" t="shared" si="101"/>
      </c>
      <c r="BQ49" s="176">
        <f aca="true" t="shared" si="108" ref="BQ49:BQ56">BJ82</f>
        <v>0</v>
      </c>
      <c r="BR49" s="320">
        <f aca="true" t="shared" si="109" ref="BR49:BR56">IF(BQ49&gt;0,INDEX(AECourses,BQ49,1),"")</f>
      </c>
      <c r="BS49" s="320">
        <f aca="true" t="shared" si="110" ref="BS49:BS56">IF(BQ49&gt;0,INDEX(AECourses,BQ49,4),"")</f>
      </c>
      <c r="BT49" s="153"/>
      <c r="BU49" s="176">
        <f aca="true" t="shared" si="111" ref="BU49:BU56">BK82</f>
        <v>0</v>
      </c>
      <c r="BV49" s="320">
        <f aca="true" t="shared" si="112" ref="BV49:BV56">IF(BU49&gt;0,INDEX(AECourses,BU49,1),"")</f>
      </c>
      <c r="BW49" s="320">
        <f aca="true" t="shared" si="113" ref="BW49:BW56">IF(BU49&gt;0,INDEX(AECourses,BU49,4),"")</f>
      </c>
      <c r="BX49" s="153"/>
      <c r="BY49" s="176">
        <f aca="true" t="shared" si="114" ref="BY49:BY56">BL82</f>
        <v>0</v>
      </c>
      <c r="BZ49" s="320">
        <f aca="true" t="shared" si="115" ref="BZ49:BZ56">IF(BY49&gt;0,INDEX(AECourses,BY49,1),"")</f>
      </c>
      <c r="CA49" s="320">
        <f aca="true" t="shared" si="116" ref="CA49:CA56">IF(BY49&gt;0,INDEX(AECourses,BY49,4),"")</f>
      </c>
    </row>
    <row r="50" spans="2:79" ht="13.5" customHeight="1">
      <c r="B50" s="130">
        <f aca="true" t="shared" si="117" ref="B50:B55">IF(BR50=BS50,BR50,"Error "&amp;BQ50)</f>
      </c>
      <c r="C50" s="39">
        <f t="shared" si="102"/>
      </c>
      <c r="D50" s="43">
        <f t="shared" si="103"/>
      </c>
      <c r="E50" s="153">
        <f aca="true" t="shared" si="118" ref="E50:E55">IF(LEFT(D50,1)="a",4*C50,IF(LEFT(D50,1)="b",3*C50,IF(LEFT(D50,1)="c",2*C50,IF(LEFT(D50,1)="d",C50,IF(LEFT(D50,1)="f",0,"")))))</f>
      </c>
      <c r="F50" s="130">
        <f aca="true" t="shared" si="119" ref="F50:F55">IF(BV50=BW50,BV50,"Error "&amp;BU50)</f>
      </c>
      <c r="G50" s="39">
        <f t="shared" si="104"/>
      </c>
      <c r="H50" s="43">
        <f t="shared" si="105"/>
      </c>
      <c r="I50" s="153">
        <f aca="true" t="shared" si="120" ref="I50:I55">IF(LEFT(H50,1)="a",4*G50,IF(LEFT(H50,1)="b",3*G50,IF(LEFT(H50,1)="c",2*G50,IF(LEFT(H50,1)="d",G50,IF(LEFT(H50,1)="f",0,"")))))</f>
      </c>
      <c r="J50" s="130">
        <f aca="true" t="shared" si="121" ref="J50:J55">IF(BZ50=CA50,BZ50,"Error "&amp;BY50)</f>
      </c>
      <c r="K50" s="39">
        <f t="shared" si="106"/>
      </c>
      <c r="L50" s="43">
        <f t="shared" si="107"/>
      </c>
      <c r="M50" s="153">
        <f aca="true" t="shared" si="122" ref="M50:M55">IF(LEFT(L50,1)="a",4*K50,IF(LEFT(L50,1)="b",3*K50,IF(LEFT(L50,1)="c",2*K50,IF(LEFT(L50,1)="d",K50,IF(LEFT(L50,1)="f",0,"")))))</f>
      </c>
      <c r="O50" s="97"/>
      <c r="P50" s="78"/>
      <c r="Q50" s="99"/>
      <c r="R50" s="246" t="s">
        <v>174</v>
      </c>
      <c r="S50" s="238">
        <f t="shared" si="39"/>
        <v>0</v>
      </c>
      <c r="T50" s="238">
        <f t="shared" si="40"/>
      </c>
      <c r="U50" s="238">
        <f t="shared" si="41"/>
        <v>0</v>
      </c>
      <c r="V50" s="238">
        <f t="shared" si="42"/>
      </c>
      <c r="W50" s="51" t="s">
        <v>31</v>
      </c>
      <c r="X50" s="7">
        <v>3</v>
      </c>
      <c r="Y50" s="18" t="s">
        <v>233</v>
      </c>
      <c r="Z50" s="16" t="s">
        <v>293</v>
      </c>
      <c r="AD50" s="1">
        <v>50</v>
      </c>
      <c r="AE50" s="320">
        <f t="shared" si="2"/>
        <v>2000000</v>
      </c>
      <c r="AF50" s="336"/>
      <c r="AG50" s="39" t="str">
        <f t="shared" si="73"/>
        <v>MAE 490</v>
      </c>
      <c r="AH50" s="328">
        <f t="shared" si="74"/>
        <v>3</v>
      </c>
      <c r="AI50" s="320">
        <f t="shared" si="75"/>
        <v>0</v>
      </c>
      <c r="AJ50" s="294">
        <f>IF(AN50="y",AG50,IF(AE50=10101,AG50,IF(AE50&gt;999999,"",IF(AE50&lt;=AE36,"PREREQ ERROR_MAE 272",IF(AE50&lt;=AE39,"PREREQ ERROR_MAE 311",IF(AE50&lt;=AE33,"PREREQ ERROR_ISE 321",AG50))))))</f>
      </c>
      <c r="AK50" s="158" t="b">
        <f t="shared" si="76"/>
        <v>0</v>
      </c>
      <c r="AL50" s="320">
        <f t="shared" si="77"/>
        <v>2000000</v>
      </c>
      <c r="AM50" s="322"/>
      <c r="AN50" s="108"/>
      <c r="AO50" s="37"/>
      <c r="BA50" s="336">
        <f ca="1" t="shared" si="0"/>
      </c>
      <c r="BB50" s="336">
        <f ca="1" t="shared" si="101"/>
      </c>
      <c r="BC50" s="336">
        <f ca="1" t="shared" si="101"/>
      </c>
      <c r="BD50" s="336">
        <f ca="1" t="shared" si="101"/>
      </c>
      <c r="BE50" s="336">
        <f ca="1" t="shared" si="101"/>
      </c>
      <c r="BF50" s="336">
        <f ca="1" t="shared" si="101"/>
      </c>
      <c r="BG50" s="336">
        <f ca="1" t="shared" si="101"/>
      </c>
      <c r="BH50" s="336">
        <f ca="1" t="shared" si="101"/>
      </c>
      <c r="BI50" s="336">
        <f ca="1" t="shared" si="101"/>
      </c>
      <c r="BJ50" s="336">
        <f ca="1" t="shared" si="101"/>
      </c>
      <c r="BK50" s="336">
        <f ca="1" t="shared" si="101"/>
      </c>
      <c r="BL50" s="336">
        <f ca="1" t="shared" si="101"/>
      </c>
      <c r="BM50" s="336">
        <f ca="1" t="shared" si="101"/>
      </c>
      <c r="BN50" s="336">
        <f ca="1" t="shared" si="101"/>
      </c>
      <c r="BO50" s="336">
        <f ca="1" t="shared" si="101"/>
      </c>
      <c r="BQ50" s="178">
        <f t="shared" si="108"/>
        <v>0</v>
      </c>
      <c r="BR50" s="320">
        <f t="shared" si="109"/>
      </c>
      <c r="BS50" s="320">
        <f t="shared" si="110"/>
      </c>
      <c r="BT50" s="153"/>
      <c r="BU50" s="178">
        <f t="shared" si="111"/>
        <v>0</v>
      </c>
      <c r="BV50" s="320">
        <f t="shared" si="112"/>
      </c>
      <c r="BW50" s="320">
        <f t="shared" si="113"/>
      </c>
      <c r="BX50" s="153"/>
      <c r="BY50" s="178">
        <f t="shared" si="114"/>
        <v>0</v>
      </c>
      <c r="BZ50" s="320">
        <f t="shared" si="115"/>
      </c>
      <c r="CA50" s="320">
        <f t="shared" si="116"/>
      </c>
    </row>
    <row r="51" spans="2:79" ht="13.5" customHeight="1">
      <c r="B51" s="130">
        <f t="shared" si="117"/>
      </c>
      <c r="C51" s="39">
        <f t="shared" si="102"/>
      </c>
      <c r="D51" s="43">
        <f t="shared" si="103"/>
      </c>
      <c r="E51" s="153">
        <f t="shared" si="118"/>
      </c>
      <c r="F51" s="130">
        <f t="shared" si="119"/>
      </c>
      <c r="G51" s="39">
        <f t="shared" si="104"/>
      </c>
      <c r="H51" s="43">
        <f t="shared" si="105"/>
      </c>
      <c r="I51" s="153">
        <f t="shared" si="120"/>
      </c>
      <c r="J51" s="130">
        <f t="shared" si="121"/>
      </c>
      <c r="K51" s="39">
        <f t="shared" si="106"/>
      </c>
      <c r="L51" s="43">
        <f t="shared" si="107"/>
      </c>
      <c r="M51" s="153">
        <f t="shared" si="122"/>
      </c>
      <c r="O51" s="97"/>
      <c r="P51" s="78"/>
      <c r="Q51" s="99"/>
      <c r="R51" s="246" t="s">
        <v>174</v>
      </c>
      <c r="S51" s="238">
        <f t="shared" si="39"/>
        <v>0</v>
      </c>
      <c r="T51" s="238">
        <f t="shared" si="40"/>
      </c>
      <c r="U51" s="238">
        <f t="shared" si="41"/>
        <v>0</v>
      </c>
      <c r="V51" s="238">
        <f t="shared" si="42"/>
      </c>
      <c r="W51" s="92" t="s">
        <v>36</v>
      </c>
      <c r="X51" s="7">
        <v>4</v>
      </c>
      <c r="Y51" s="9" t="s">
        <v>37</v>
      </c>
      <c r="Z51" s="16" t="s">
        <v>294</v>
      </c>
      <c r="AD51" s="1">
        <v>51</v>
      </c>
      <c r="AE51" s="320">
        <f t="shared" si="2"/>
        <v>2000000</v>
      </c>
      <c r="AF51" s="336"/>
      <c r="AG51" s="39" t="str">
        <f t="shared" si="73"/>
        <v>MAE 491</v>
      </c>
      <c r="AH51" s="328">
        <f t="shared" si="74"/>
        <v>3</v>
      </c>
      <c r="AI51" s="320">
        <f t="shared" si="75"/>
        <v>0</v>
      </c>
      <c r="AJ51" s="294">
        <f>IF(AN51="y",AG51,IF(AE51=10101,AG51,IF(AE51&gt;999999,"",IF(AE51&lt;=AE50,"PRE-REQ ERROR_MAE 490",IF(SUMIF(AE2:AE80,"&lt;"&amp;AE51,AH2:AH80)&lt;96,"ERROR_Senior Standing",IF(OR(AE52&lt;999999,AE53&lt;999999,AE54&lt;999999),"ERROR PICK ONLY ONE SR. DESIGN",AG51))))))</f>
      </c>
      <c r="AK51" s="158" t="b">
        <f t="shared" si="76"/>
        <v>0</v>
      </c>
      <c r="AL51" s="320">
        <f t="shared" si="77"/>
        <v>2000000</v>
      </c>
      <c r="AM51" s="139" t="b">
        <f>OR(AE51&lt;999999,AE52&lt;999999,AE53&lt;999999,AE54&lt;999999)</f>
        <v>0</v>
      </c>
      <c r="AN51" s="108"/>
      <c r="AO51" s="37" t="b">
        <f>AND(AE51&gt;999999,AM$51)</f>
        <v>0</v>
      </c>
      <c r="BA51" s="336">
        <f ca="1" t="shared" si="0"/>
      </c>
      <c r="BB51" s="336">
        <f ca="1" t="shared" si="101"/>
      </c>
      <c r="BC51" s="336">
        <f ca="1" t="shared" si="101"/>
      </c>
      <c r="BD51" s="336">
        <f ca="1" t="shared" si="101"/>
      </c>
      <c r="BE51" s="336">
        <f ca="1" t="shared" si="101"/>
      </c>
      <c r="BF51" s="336">
        <f ca="1" t="shared" si="101"/>
      </c>
      <c r="BG51" s="336">
        <f ca="1" t="shared" si="101"/>
      </c>
      <c r="BH51" s="336">
        <f ca="1" t="shared" si="101"/>
      </c>
      <c r="BI51" s="336">
        <f ca="1" t="shared" si="101"/>
      </c>
      <c r="BJ51" s="336">
        <f ca="1" t="shared" si="101"/>
      </c>
      <c r="BK51" s="336">
        <f ca="1" t="shared" si="101"/>
      </c>
      <c r="BL51" s="336">
        <f ca="1" t="shared" si="101"/>
      </c>
      <c r="BM51" s="336">
        <f ca="1" t="shared" si="101"/>
      </c>
      <c r="BN51" s="336">
        <f ca="1" t="shared" si="101"/>
      </c>
      <c r="BO51" s="336">
        <f ca="1" t="shared" si="101"/>
      </c>
      <c r="BQ51" s="178">
        <f t="shared" si="108"/>
        <v>0</v>
      </c>
      <c r="BR51" s="320">
        <f t="shared" si="109"/>
      </c>
      <c r="BS51" s="320">
        <f t="shared" si="110"/>
      </c>
      <c r="BT51" s="153"/>
      <c r="BU51" s="178">
        <f t="shared" si="111"/>
        <v>0</v>
      </c>
      <c r="BV51" s="320">
        <f t="shared" si="112"/>
      </c>
      <c r="BW51" s="320">
        <f t="shared" si="113"/>
      </c>
      <c r="BX51" s="153"/>
      <c r="BY51" s="178">
        <f t="shared" si="114"/>
        <v>0</v>
      </c>
      <c r="BZ51" s="320">
        <f t="shared" si="115"/>
      </c>
      <c r="CA51" s="320">
        <f t="shared" si="116"/>
      </c>
    </row>
    <row r="52" spans="2:79" ht="13.5" customHeight="1">
      <c r="B52" s="130">
        <f t="shared" si="117"/>
      </c>
      <c r="C52" s="39">
        <f t="shared" si="102"/>
      </c>
      <c r="D52" s="43">
        <f t="shared" si="103"/>
      </c>
      <c r="E52" s="153">
        <f t="shared" si="118"/>
      </c>
      <c r="F52" s="130">
        <f t="shared" si="119"/>
      </c>
      <c r="G52" s="39">
        <f t="shared" si="104"/>
      </c>
      <c r="H52" s="43">
        <f t="shared" si="105"/>
      </c>
      <c r="I52" s="153">
        <f t="shared" si="120"/>
      </c>
      <c r="J52" s="130">
        <f t="shared" si="121"/>
      </c>
      <c r="K52" s="39">
        <f t="shared" si="106"/>
      </c>
      <c r="L52" s="43">
        <f t="shared" si="107"/>
      </c>
      <c r="M52" s="153">
        <f t="shared" si="122"/>
      </c>
      <c r="O52" s="97"/>
      <c r="P52" s="78"/>
      <c r="Q52" s="99"/>
      <c r="R52" s="246" t="s">
        <v>174</v>
      </c>
      <c r="S52" s="238">
        <f t="shared" si="39"/>
        <v>0</v>
      </c>
      <c r="T52" s="238">
        <f t="shared" si="40"/>
      </c>
      <c r="U52" s="238">
        <f t="shared" si="41"/>
        <v>0</v>
      </c>
      <c r="V52" s="238">
        <f t="shared" si="42"/>
      </c>
      <c r="W52" s="51" t="s">
        <v>58</v>
      </c>
      <c r="X52" s="7">
        <v>3</v>
      </c>
      <c r="Y52" s="9" t="s">
        <v>59</v>
      </c>
      <c r="Z52" s="16" t="s">
        <v>274</v>
      </c>
      <c r="AD52" s="1">
        <v>52</v>
      </c>
      <c r="AE52" s="320">
        <f t="shared" si="2"/>
        <v>2000000</v>
      </c>
      <c r="AF52" s="336"/>
      <c r="AG52" s="39" t="str">
        <f t="shared" si="73"/>
        <v>MAE 492</v>
      </c>
      <c r="AH52" s="328">
        <f t="shared" si="74"/>
        <v>3</v>
      </c>
      <c r="AI52" s="320">
        <f t="shared" si="75"/>
        <v>0</v>
      </c>
      <c r="AJ52" s="294">
        <f>IF(AN52="y",AG52,IF(AE52=10101,AG52,IF(AE52&gt;999999,"",IF(AE52&lt;=AE50,"PRE-REQ ERROR_MAE 490",IF(SUMIF(AE2:AE80,"&lt;"&amp;AE52,AH2:AH80)&lt;96,"ERROR_Senior Standing",IF(OR(AE51&lt;999999,AE53&lt;999999,AE54&lt;999999),"ERROR PICK ONLY ONE SR. DESIGN",AG52))))))</f>
      </c>
      <c r="AK52" s="158" t="b">
        <f t="shared" si="76"/>
        <v>0</v>
      </c>
      <c r="AL52" s="320">
        <f t="shared" si="77"/>
        <v>2000000</v>
      </c>
      <c r="AM52" s="322"/>
      <c r="AN52" s="108"/>
      <c r="AO52" s="37" t="b">
        <f>AND(AE52&gt;999999,AM$51)</f>
        <v>0</v>
      </c>
      <c r="BA52" s="336">
        <f ca="1" t="shared" si="0"/>
      </c>
      <c r="BB52" s="336">
        <f ca="1" t="shared" si="101"/>
      </c>
      <c r="BC52" s="336">
        <f ca="1" t="shared" si="101"/>
      </c>
      <c r="BD52" s="336">
        <f ca="1" t="shared" si="101"/>
      </c>
      <c r="BE52" s="336">
        <f ca="1" t="shared" si="101"/>
      </c>
      <c r="BF52" s="336">
        <f ca="1" t="shared" si="101"/>
      </c>
      <c r="BG52" s="336">
        <f ca="1" t="shared" si="101"/>
      </c>
      <c r="BH52" s="336">
        <f ca="1" t="shared" si="101"/>
      </c>
      <c r="BI52" s="336">
        <f ca="1" t="shared" si="101"/>
      </c>
      <c r="BJ52" s="336">
        <f ca="1" t="shared" si="101"/>
      </c>
      <c r="BK52" s="336">
        <f ca="1" t="shared" si="101"/>
      </c>
      <c r="BL52" s="336">
        <f ca="1" t="shared" si="101"/>
      </c>
      <c r="BM52" s="336">
        <f ca="1" t="shared" si="101"/>
      </c>
      <c r="BN52" s="336">
        <f ca="1" t="shared" si="101"/>
      </c>
      <c r="BO52" s="336">
        <f ca="1" t="shared" si="101"/>
      </c>
      <c r="BQ52" s="178">
        <f t="shared" si="108"/>
        <v>0</v>
      </c>
      <c r="BR52" s="320">
        <f t="shared" si="109"/>
      </c>
      <c r="BS52" s="320">
        <f t="shared" si="110"/>
      </c>
      <c r="BT52" s="153"/>
      <c r="BU52" s="178">
        <f t="shared" si="111"/>
        <v>0</v>
      </c>
      <c r="BV52" s="320">
        <f t="shared" si="112"/>
      </c>
      <c r="BW52" s="320">
        <f t="shared" si="113"/>
      </c>
      <c r="BX52" s="153"/>
      <c r="BY52" s="178">
        <f t="shared" si="114"/>
        <v>0</v>
      </c>
      <c r="BZ52" s="320">
        <f t="shared" si="115"/>
      </c>
      <c r="CA52" s="320">
        <f t="shared" si="116"/>
      </c>
    </row>
    <row r="53" spans="2:79" ht="13.5" customHeight="1">
      <c r="B53" s="130">
        <f t="shared" si="117"/>
      </c>
      <c r="C53" s="39">
        <f t="shared" si="102"/>
      </c>
      <c r="D53" s="43">
        <f t="shared" si="103"/>
      </c>
      <c r="E53" s="153">
        <f t="shared" si="118"/>
      </c>
      <c r="F53" s="130">
        <f t="shared" si="119"/>
      </c>
      <c r="G53" s="39">
        <f t="shared" si="104"/>
      </c>
      <c r="H53" s="43">
        <f t="shared" si="105"/>
      </c>
      <c r="I53" s="153">
        <f t="shared" si="120"/>
      </c>
      <c r="J53" s="130">
        <f t="shared" si="121"/>
      </c>
      <c r="K53" s="39">
        <f t="shared" si="106"/>
      </c>
      <c r="L53" s="43">
        <f t="shared" si="107"/>
      </c>
      <c r="M53" s="153">
        <f t="shared" si="122"/>
      </c>
      <c r="O53" s="97"/>
      <c r="P53" s="78"/>
      <c r="Q53" s="99"/>
      <c r="R53" s="246" t="s">
        <v>174</v>
      </c>
      <c r="S53" s="238">
        <f t="shared" si="39"/>
        <v>0</v>
      </c>
      <c r="T53" s="238">
        <f t="shared" si="40"/>
      </c>
      <c r="U53" s="238">
        <f t="shared" si="41"/>
        <v>0</v>
      </c>
      <c r="V53" s="238">
        <f t="shared" si="42"/>
      </c>
      <c r="W53" s="51" t="s">
        <v>60</v>
      </c>
      <c r="X53" s="7">
        <v>3</v>
      </c>
      <c r="Y53" s="9" t="s">
        <v>61</v>
      </c>
      <c r="Z53" s="16" t="s">
        <v>84</v>
      </c>
      <c r="AD53" s="1">
        <v>53</v>
      </c>
      <c r="AE53" s="320">
        <f t="shared" si="2"/>
        <v>2000000</v>
      </c>
      <c r="AF53" s="139"/>
      <c r="AG53" s="39" t="str">
        <f t="shared" si="73"/>
        <v>MAE 493</v>
      </c>
      <c r="AH53" s="328">
        <f t="shared" si="74"/>
        <v>3</v>
      </c>
      <c r="AI53" s="320">
        <f t="shared" si="75"/>
        <v>0</v>
      </c>
      <c r="AJ53" s="294">
        <f>IF(AN53="y",AG53,IF(AE53=10101,AG53,IF(AE53&gt;999999,"",IF(AE53&lt;=AE50,"PRE-REQ ERROR_MAE 490",IF(SUMIF(AE2:AE80,"&lt;"&amp;AE53,AH2:AH80)&lt;96,"ERROR_Senior Standing",IF(OR(AE51&lt;999999,AE52&lt;999999,AE54&lt;999999),"ERROR PICK ONLY ONE SR. DESIGN",AG53))))))</f>
      </c>
      <c r="AK53" s="158" t="b">
        <f t="shared" si="76"/>
        <v>0</v>
      </c>
      <c r="AL53" s="320">
        <f t="shared" si="77"/>
        <v>2000000</v>
      </c>
      <c r="AM53" s="322"/>
      <c r="AN53" s="108"/>
      <c r="AO53" s="37" t="b">
        <f>AND(AE53&gt;999999,AM$51)</f>
        <v>0</v>
      </c>
      <c r="BA53" s="336">
        <f ca="1" t="shared" si="0"/>
      </c>
      <c r="BB53" s="336">
        <f ca="1" t="shared" si="101"/>
      </c>
      <c r="BC53" s="336">
        <f ca="1" t="shared" si="101"/>
      </c>
      <c r="BD53" s="336">
        <f ca="1" t="shared" si="101"/>
      </c>
      <c r="BE53" s="336">
        <f ca="1" t="shared" si="101"/>
      </c>
      <c r="BF53" s="336">
        <f ca="1" t="shared" si="101"/>
      </c>
      <c r="BG53" s="336">
        <f ca="1" t="shared" si="101"/>
      </c>
      <c r="BH53" s="336">
        <f ca="1" t="shared" si="101"/>
      </c>
      <c r="BI53" s="336">
        <f ca="1" t="shared" si="101"/>
      </c>
      <c r="BJ53" s="336">
        <f ca="1" t="shared" si="101"/>
      </c>
      <c r="BK53" s="336">
        <f ca="1" t="shared" si="101"/>
      </c>
      <c r="BL53" s="336">
        <f ca="1" t="shared" si="101"/>
      </c>
      <c r="BM53" s="336">
        <f ca="1" t="shared" si="101"/>
      </c>
      <c r="BN53" s="336">
        <f ca="1" t="shared" si="101"/>
      </c>
      <c r="BO53" s="336">
        <f ca="1" t="shared" si="101"/>
      </c>
      <c r="BQ53" s="178">
        <f t="shared" si="108"/>
        <v>0</v>
      </c>
      <c r="BR53" s="320">
        <f t="shared" si="109"/>
      </c>
      <c r="BS53" s="320">
        <f t="shared" si="110"/>
      </c>
      <c r="BT53" s="153"/>
      <c r="BU53" s="178">
        <f t="shared" si="111"/>
        <v>0</v>
      </c>
      <c r="BV53" s="320">
        <f t="shared" si="112"/>
      </c>
      <c r="BW53" s="320">
        <f t="shared" si="113"/>
      </c>
      <c r="BX53" s="153"/>
      <c r="BY53" s="178">
        <f t="shared" si="114"/>
        <v>0</v>
      </c>
      <c r="BZ53" s="320">
        <f t="shared" si="115"/>
      </c>
      <c r="CA53" s="320">
        <f t="shared" si="116"/>
      </c>
    </row>
    <row r="54" spans="2:79" ht="13.5" customHeight="1" thickBot="1">
      <c r="B54" s="130">
        <f t="shared" si="117"/>
      </c>
      <c r="C54" s="39">
        <f t="shared" si="102"/>
      </c>
      <c r="D54" s="43">
        <f t="shared" si="103"/>
      </c>
      <c r="E54" s="153">
        <f t="shared" si="118"/>
      </c>
      <c r="F54" s="130">
        <f t="shared" si="119"/>
      </c>
      <c r="G54" s="39">
        <f t="shared" si="104"/>
      </c>
      <c r="H54" s="43">
        <f t="shared" si="105"/>
      </c>
      <c r="I54" s="153">
        <f t="shared" si="120"/>
      </c>
      <c r="J54" s="130">
        <f t="shared" si="121"/>
      </c>
      <c r="K54" s="39">
        <f t="shared" si="106"/>
      </c>
      <c r="L54" s="43">
        <f t="shared" si="107"/>
      </c>
      <c r="M54" s="153">
        <f t="shared" si="122"/>
      </c>
      <c r="O54" s="97"/>
      <c r="P54" s="78"/>
      <c r="Q54" s="99"/>
      <c r="R54" s="246" t="s">
        <v>174</v>
      </c>
      <c r="S54" s="238">
        <f t="shared" si="39"/>
        <v>0</v>
      </c>
      <c r="T54" s="238">
        <f t="shared" si="40"/>
      </c>
      <c r="U54" s="238">
        <f t="shared" si="41"/>
        <v>0</v>
      </c>
      <c r="V54" s="238">
        <f t="shared" si="42"/>
      </c>
      <c r="W54" s="51" t="s">
        <v>62</v>
      </c>
      <c r="X54" s="7">
        <v>3</v>
      </c>
      <c r="Y54" s="9" t="s">
        <v>63</v>
      </c>
      <c r="Z54" s="16" t="s">
        <v>84</v>
      </c>
      <c r="AA54" s="291"/>
      <c r="AB54" s="292"/>
      <c r="AD54" s="1">
        <v>54</v>
      </c>
      <c r="AE54" s="320">
        <f t="shared" si="2"/>
        <v>2000000</v>
      </c>
      <c r="AF54" s="139"/>
      <c r="AG54" s="39" t="str">
        <f t="shared" si="73"/>
        <v>MAE 494</v>
      </c>
      <c r="AH54" s="328">
        <f t="shared" si="74"/>
        <v>3</v>
      </c>
      <c r="AI54" s="320">
        <f t="shared" si="75"/>
        <v>0</v>
      </c>
      <c r="AJ54" s="294">
        <f>IF(AN54="y",AG54,IF(AE54=10101,AG54,IF(AE54&gt;999999,"",IF(AE54&lt;=AE50,"PRE-REQ ERROR_MAE 490",IF(SUMIF(AE2:AE80,"&lt;"&amp;AE54,AH2:AH80)&lt;96,"ERROR_Senior Standing",IF(OR(AE51&lt;999999,AE52&lt;999999,AE53&lt;999999),"ERROR PICK ONLY ONE SR. DESIGN",AG54))))))</f>
      </c>
      <c r="AK54" s="158" t="b">
        <f t="shared" si="76"/>
        <v>0</v>
      </c>
      <c r="AL54" s="320">
        <f t="shared" si="77"/>
        <v>2000000</v>
      </c>
      <c r="AM54" s="322"/>
      <c r="AN54" s="108"/>
      <c r="AO54" s="37" t="b">
        <f>AND(AE54&gt;999999,AM$51)</f>
        <v>0</v>
      </c>
      <c r="BA54" s="336">
        <f ca="1" t="shared" si="0"/>
      </c>
      <c r="BB54" s="336">
        <f ca="1" t="shared" si="101"/>
      </c>
      <c r="BC54" s="336">
        <f ca="1" t="shared" si="101"/>
      </c>
      <c r="BD54" s="336">
        <f ca="1" t="shared" si="101"/>
      </c>
      <c r="BE54" s="336">
        <f ca="1" t="shared" si="101"/>
      </c>
      <c r="BF54" s="336">
        <f ca="1" t="shared" si="101"/>
      </c>
      <c r="BG54" s="336">
        <f ca="1" t="shared" si="101"/>
      </c>
      <c r="BH54" s="336">
        <f ca="1" t="shared" si="101"/>
      </c>
      <c r="BI54" s="336">
        <f ca="1" t="shared" si="101"/>
      </c>
      <c r="BJ54" s="336">
        <f ca="1" t="shared" si="101"/>
      </c>
      <c r="BK54" s="336">
        <f ca="1" t="shared" si="101"/>
      </c>
      <c r="BL54" s="336">
        <f ca="1" t="shared" si="101"/>
      </c>
      <c r="BM54" s="336">
        <f ca="1" t="shared" si="101"/>
      </c>
      <c r="BN54" s="336">
        <f ca="1" t="shared" si="101"/>
      </c>
      <c r="BO54" s="336">
        <f ca="1" t="shared" si="101"/>
      </c>
      <c r="BQ54" s="178">
        <f t="shared" si="108"/>
        <v>0</v>
      </c>
      <c r="BR54" s="320">
        <f t="shared" si="109"/>
      </c>
      <c r="BS54" s="320">
        <f t="shared" si="110"/>
      </c>
      <c r="BT54" s="153"/>
      <c r="BU54" s="178">
        <f t="shared" si="111"/>
        <v>0</v>
      </c>
      <c r="BV54" s="320">
        <f t="shared" si="112"/>
      </c>
      <c r="BW54" s="320">
        <f t="shared" si="113"/>
      </c>
      <c r="BX54" s="153"/>
      <c r="BY54" s="178">
        <f t="shared" si="114"/>
        <v>0</v>
      </c>
      <c r="BZ54" s="320">
        <f t="shared" si="115"/>
      </c>
      <c r="CA54" s="320">
        <f t="shared" si="116"/>
      </c>
    </row>
    <row r="55" spans="2:79" ht="13.5" customHeight="1" thickBot="1">
      <c r="B55" s="369">
        <f t="shared" si="117"/>
      </c>
      <c r="C55" s="370">
        <f t="shared" si="102"/>
      </c>
      <c r="D55" s="371">
        <f t="shared" si="103"/>
      </c>
      <c r="E55" s="153">
        <f t="shared" si="118"/>
      </c>
      <c r="F55" s="369">
        <f t="shared" si="119"/>
      </c>
      <c r="G55" s="370">
        <f t="shared" si="104"/>
      </c>
      <c r="H55" s="371">
        <f t="shared" si="105"/>
      </c>
      <c r="I55" s="153">
        <f t="shared" si="120"/>
      </c>
      <c r="J55" s="369">
        <f t="shared" si="121"/>
      </c>
      <c r="K55" s="370">
        <f t="shared" si="106"/>
      </c>
      <c r="L55" s="371">
        <f t="shared" si="107"/>
      </c>
      <c r="M55" s="153">
        <f t="shared" si="122"/>
      </c>
      <c r="N55" s="126"/>
      <c r="O55" s="97"/>
      <c r="P55" s="78"/>
      <c r="Q55" s="99"/>
      <c r="R55" s="246" t="s">
        <v>174</v>
      </c>
      <c r="S55" s="238">
        <f t="shared" si="39"/>
        <v>0</v>
      </c>
      <c r="T55" s="238">
        <f t="shared" si="40"/>
      </c>
      <c r="U55" s="238">
        <f t="shared" si="41"/>
        <v>0</v>
      </c>
      <c r="V55" s="238">
        <f t="shared" si="42"/>
      </c>
      <c r="W55" s="63" t="s">
        <v>254</v>
      </c>
      <c r="X55" s="57">
        <v>3</v>
      </c>
      <c r="Y55" s="26" t="s">
        <v>64</v>
      </c>
      <c r="Z55" s="23" t="s">
        <v>60</v>
      </c>
      <c r="AA55" s="381" t="s">
        <v>70</v>
      </c>
      <c r="AB55" s="382"/>
      <c r="AD55" s="1">
        <v>55</v>
      </c>
      <c r="AE55" s="320">
        <f t="shared" si="2"/>
        <v>2000000</v>
      </c>
      <c r="AF55" s="343"/>
      <c r="AG55" s="38" t="str">
        <f>W67</f>
        <v>T.E.</v>
      </c>
      <c r="AH55" s="329">
        <f>X67</f>
        <v>3</v>
      </c>
      <c r="AI55" s="330">
        <f>Q67</f>
        <v>0</v>
      </c>
      <c r="AJ55" s="294">
        <f>IF(AE55&gt;999999,"",AG55)</f>
      </c>
      <c r="AK55" s="293" t="b">
        <f>IF(X67=0,FALSE,IF(OR(LEFT(Q67,1)="T",S67/X67&gt;=2),TRUE,FALSE))</f>
        <v>0</v>
      </c>
      <c r="AL55" s="332">
        <f>IF(P67&gt;0,P67*100,1000000)+IF(LEFT(O67,2)="Sp",1,IF(LEFT(O67,2)="Su",5,IF(LEFT(O67,2)="Fa",9,1000000)))</f>
        <v>2000000</v>
      </c>
      <c r="AM55" s="322"/>
      <c r="AN55" s="108"/>
      <c r="AO55" s="37"/>
      <c r="BA55" s="336">
        <f ca="1" t="shared" si="0"/>
      </c>
      <c r="BB55" s="336">
        <f ca="1" t="shared" si="101"/>
      </c>
      <c r="BC55" s="336">
        <f ca="1" t="shared" si="101"/>
      </c>
      <c r="BD55" s="336">
        <f ca="1" t="shared" si="101"/>
      </c>
      <c r="BE55" s="336">
        <f ca="1" t="shared" si="101"/>
      </c>
      <c r="BF55" s="336">
        <f ca="1" t="shared" si="101"/>
      </c>
      <c r="BG55" s="336">
        <f ca="1" t="shared" si="101"/>
      </c>
      <c r="BH55" s="336">
        <f ca="1" t="shared" si="101"/>
      </c>
      <c r="BI55" s="336">
        <f ca="1" t="shared" si="101"/>
      </c>
      <c r="BJ55" s="336">
        <f ca="1" t="shared" si="101"/>
      </c>
      <c r="BK55" s="336">
        <f ca="1" t="shared" si="101"/>
      </c>
      <c r="BL55" s="336">
        <f ca="1" t="shared" si="101"/>
      </c>
      <c r="BM55" s="336">
        <f ca="1" t="shared" si="101"/>
      </c>
      <c r="BN55" s="336">
        <f ca="1" t="shared" si="101"/>
      </c>
      <c r="BO55" s="336">
        <f ca="1" t="shared" si="101"/>
      </c>
      <c r="BQ55" s="178">
        <f t="shared" si="108"/>
        <v>0</v>
      </c>
      <c r="BR55" s="320">
        <f t="shared" si="109"/>
      </c>
      <c r="BS55" s="320">
        <f t="shared" si="110"/>
      </c>
      <c r="BT55" s="153"/>
      <c r="BU55" s="178">
        <f t="shared" si="111"/>
        <v>0</v>
      </c>
      <c r="BV55" s="320">
        <f t="shared" si="112"/>
      </c>
      <c r="BW55" s="320">
        <f t="shared" si="113"/>
      </c>
      <c r="BX55" s="153"/>
      <c r="BY55" s="178">
        <f t="shared" si="114"/>
        <v>0</v>
      </c>
      <c r="BZ55" s="320">
        <f t="shared" si="115"/>
      </c>
      <c r="CA55" s="320">
        <f t="shared" si="116"/>
      </c>
    </row>
    <row r="56" spans="2:79" ht="13.5" customHeight="1" thickBot="1" thickTop="1">
      <c r="B56" s="372">
        <f>IF(BQ56&lt;&gt;0,"Excess "&amp;BQ56,"")</f>
      </c>
      <c r="C56" s="373">
        <f>SUM(C49:C55)</f>
        <v>0</v>
      </c>
      <c r="D56" s="374"/>
      <c r="E56" s="153"/>
      <c r="F56" s="372">
        <f>IF(BU56&lt;&gt;0,"Excess "&amp;BU56,"")</f>
      </c>
      <c r="G56" s="373">
        <f>SUM(G49:G55)</f>
        <v>0</v>
      </c>
      <c r="H56" s="374"/>
      <c r="I56" s="153"/>
      <c r="J56" s="372">
        <f>IF(BY56&lt;&gt;0,"Excess "&amp;BY56,"")</f>
      </c>
      <c r="K56" s="373">
        <f>SUM(K49:K55)</f>
        <v>0</v>
      </c>
      <c r="L56" s="374"/>
      <c r="M56" s="153"/>
      <c r="N56" s="126"/>
      <c r="O56" s="97"/>
      <c r="P56" s="78"/>
      <c r="Q56" s="99"/>
      <c r="R56" s="246" t="s">
        <v>174</v>
      </c>
      <c r="S56" s="238">
        <f t="shared" si="39"/>
        <v>0</v>
      </c>
      <c r="T56" s="238">
        <f t="shared" si="40"/>
      </c>
      <c r="U56" s="238">
        <f t="shared" si="41"/>
        <v>0</v>
      </c>
      <c r="V56" s="238">
        <f t="shared" si="42"/>
      </c>
      <c r="W56" s="63" t="s">
        <v>255</v>
      </c>
      <c r="X56" s="57">
        <v>3</v>
      </c>
      <c r="Y56" s="26" t="s">
        <v>65</v>
      </c>
      <c r="Z56" s="23" t="s">
        <v>60</v>
      </c>
      <c r="AA56" s="381"/>
      <c r="AB56" s="382"/>
      <c r="AD56" s="1">
        <v>56</v>
      </c>
      <c r="AE56" s="320">
        <f t="shared" si="2"/>
        <v>2000000</v>
      </c>
      <c r="AF56" s="139" t="str">
        <f>IF(W68="",0,IF(W68=W67,W68&amp;" "&amp;2,W68))</f>
        <v>T.E. 2</v>
      </c>
      <c r="AG56" s="38" t="str">
        <f>AF56</f>
        <v>T.E. 2</v>
      </c>
      <c r="AH56" s="331">
        <f>X68</f>
        <v>3</v>
      </c>
      <c r="AI56" s="332">
        <f>Q68</f>
        <v>0</v>
      </c>
      <c r="AJ56" s="294">
        <f>IF(AE56&gt;999999,"",AG56)</f>
      </c>
      <c r="AK56" s="293" t="b">
        <f>IF(X68=0,FALSE,IF(OR(LEFT(Q68,1)="T",S68/X68&gt;=2),TRUE,FALSE))</f>
        <v>0</v>
      </c>
      <c r="AL56" s="332">
        <f>IF(P68&gt;0,P68*100,1000000)+IF(LEFT(O68,2)="Sp",1,IF(LEFT(O68,2)="Su",5,IF(LEFT(O68,2)="Fa",9,1000000)))</f>
        <v>2000000</v>
      </c>
      <c r="AM56" s="322"/>
      <c r="AN56" s="108"/>
      <c r="AO56" s="37"/>
      <c r="BA56" s="336">
        <f ca="1" t="shared" si="0"/>
      </c>
      <c r="BB56" s="336">
        <f ca="1" t="shared" si="101"/>
      </c>
      <c r="BC56" s="336">
        <f ca="1" t="shared" si="101"/>
      </c>
      <c r="BD56" s="336">
        <f ca="1" t="shared" si="101"/>
      </c>
      <c r="BE56" s="336">
        <f ca="1" t="shared" si="101"/>
      </c>
      <c r="BF56" s="336">
        <f ca="1" t="shared" si="101"/>
      </c>
      <c r="BG56" s="336">
        <f ca="1" t="shared" si="101"/>
      </c>
      <c r="BH56" s="336">
        <f ca="1" t="shared" si="101"/>
      </c>
      <c r="BI56" s="336">
        <f ca="1" t="shared" si="101"/>
      </c>
      <c r="BJ56" s="336">
        <f ca="1" t="shared" si="101"/>
      </c>
      <c r="BK56" s="336">
        <f ca="1" t="shared" si="101"/>
      </c>
      <c r="BL56" s="336">
        <f ca="1" t="shared" si="101"/>
      </c>
      <c r="BM56" s="336">
        <f ca="1" t="shared" si="101"/>
      </c>
      <c r="BN56" s="336">
        <f ca="1" t="shared" si="101"/>
      </c>
      <c r="BO56" s="336">
        <f ca="1" t="shared" si="101"/>
      </c>
      <c r="BQ56" s="178">
        <f t="shared" si="108"/>
        <v>0</v>
      </c>
      <c r="BR56" s="320">
        <f t="shared" si="109"/>
      </c>
      <c r="BS56" s="320">
        <f t="shared" si="110"/>
      </c>
      <c r="BT56" s="153"/>
      <c r="BU56" s="178">
        <f t="shared" si="111"/>
        <v>0</v>
      </c>
      <c r="BV56" s="320">
        <f t="shared" si="112"/>
      </c>
      <c r="BW56" s="320">
        <f t="shared" si="113"/>
      </c>
      <c r="BX56" s="153"/>
      <c r="BY56" s="178">
        <f t="shared" si="114"/>
        <v>0</v>
      </c>
      <c r="BZ56" s="320">
        <f t="shared" si="115"/>
      </c>
      <c r="CA56" s="320">
        <f t="shared" si="116"/>
      </c>
    </row>
    <row r="57" spans="2:77" ht="13.5" customHeight="1" thickBot="1">
      <c r="B57" s="138"/>
      <c r="C57" s="152" t="s">
        <v>137</v>
      </c>
      <c r="D57" s="154">
        <f>IF(SUMIF(E49:E55,"&gt;=0",C49:C55)&gt;0,SUM(E49:E55)/SUMIF(E49:E55,"&gt;=0",C49:C55),"")</f>
      </c>
      <c r="E57" s="153"/>
      <c r="F57" s="139"/>
      <c r="G57" s="152" t="s">
        <v>137</v>
      </c>
      <c r="H57" s="154">
        <f>IF(SUMIF(I49:I55,"&gt;=0",G49:G55)&gt;0,SUM(I49:I55)/SUMIF(I49:I55,"&gt;=0",G49:G55),"")</f>
      </c>
      <c r="I57" s="153"/>
      <c r="J57" s="139"/>
      <c r="K57" s="152" t="s">
        <v>137</v>
      </c>
      <c r="L57" s="154">
        <f>IF(SUMIF(M49:M55,"&gt;=0",K49:K55)&gt;0,SUM(M49:M55)/SUMIF(M49:M55,"&gt;=0",K49:K55),"")</f>
      </c>
      <c r="M57" s="153"/>
      <c r="N57" s="126"/>
      <c r="O57" s="97"/>
      <c r="P57" s="78"/>
      <c r="Q57" s="98"/>
      <c r="R57" s="246" t="s">
        <v>174</v>
      </c>
      <c r="S57" s="238">
        <f t="shared" si="39"/>
        <v>0</v>
      </c>
      <c r="T57" s="238">
        <f t="shared" si="40"/>
      </c>
      <c r="U57" s="238">
        <f t="shared" si="41"/>
        <v>0</v>
      </c>
      <c r="V57" s="238">
        <f t="shared" si="42"/>
      </c>
      <c r="W57" s="64" t="s">
        <v>250</v>
      </c>
      <c r="X57" s="19">
        <v>3</v>
      </c>
      <c r="Y57" s="27" t="s">
        <v>66</v>
      </c>
      <c r="Z57" s="24" t="s">
        <v>275</v>
      </c>
      <c r="AD57" s="1">
        <v>57</v>
      </c>
      <c r="AE57" s="320">
        <f t="shared" si="2"/>
        <v>2000000</v>
      </c>
      <c r="AF57" s="327">
        <f>IF(W69="",0,IF(AND(W69=W68,W69=W67),W69&amp;" "&amp;3,IF(AND(W69=W67,NOT(W69=W68)),W69&amp;" "&amp;2,IF(AND(W69=W68,NOT(W69=W67)),W69&amp;" "&amp;2,W69))))</f>
        <v>0</v>
      </c>
      <c r="AG57" s="38">
        <f>AF57</f>
        <v>0</v>
      </c>
      <c r="AH57" s="331">
        <f>X69</f>
        <v>0</v>
      </c>
      <c r="AI57" s="332">
        <f>Q69</f>
        <v>0</v>
      </c>
      <c r="AJ57" s="294">
        <f>IF(AE57&gt;999999,"",AG57)</f>
      </c>
      <c r="AK57" s="293" t="b">
        <f>IF(X69=0,FALSE,IF(OR(LEFT(Q69,1)="T",S69/X69&gt;=2),TRUE,FALSE))</f>
        <v>0</v>
      </c>
      <c r="AL57" s="332">
        <f>IF(P69&gt;0,P69*100,1000000)+IF(LEFT(O69,2)="Sp",1,IF(LEFT(O69,2)="Su",5,IF(LEFT(O69,2)="Fa",9,1000000)))</f>
        <v>2000000</v>
      </c>
      <c r="AM57" s="322"/>
      <c r="AN57" s="108"/>
      <c r="AO57" s="37" t="b">
        <f>AND(AE57&gt;999999,AH55+AH56&gt;=6)</f>
        <v>1</v>
      </c>
      <c r="BA57" s="336">
        <f ca="1" t="shared" si="0"/>
      </c>
      <c r="BB57" s="336">
        <f ca="1" t="shared" si="101"/>
      </c>
      <c r="BC57" s="336">
        <f ca="1" t="shared" si="101"/>
      </c>
      <c r="BD57" s="336">
        <f ca="1" t="shared" si="101"/>
      </c>
      <c r="BE57" s="336">
        <f ca="1" t="shared" si="101"/>
      </c>
      <c r="BF57" s="336">
        <f ca="1" t="shared" si="101"/>
      </c>
      <c r="BG57" s="336">
        <f ca="1" t="shared" si="101"/>
      </c>
      <c r="BH57" s="336">
        <f ca="1" t="shared" si="101"/>
      </c>
      <c r="BI57" s="336">
        <f ca="1" t="shared" si="101"/>
      </c>
      <c r="BJ57" s="336">
        <f ca="1" t="shared" si="101"/>
      </c>
      <c r="BK57" s="336">
        <f ca="1" t="shared" si="101"/>
      </c>
      <c r="BL57" s="336">
        <f ca="1" t="shared" si="101"/>
      </c>
      <c r="BM57" s="336">
        <f ca="1" t="shared" si="101"/>
      </c>
      <c r="BN57" s="336">
        <f ca="1" t="shared" si="101"/>
      </c>
      <c r="BO57" s="336">
        <f ca="1" t="shared" si="101"/>
      </c>
      <c r="BQ57" s="138"/>
      <c r="BT57" s="153"/>
      <c r="BU57" s="139"/>
      <c r="BX57" s="153"/>
      <c r="BY57" s="139"/>
    </row>
    <row r="58" spans="2:69" ht="13.5" customHeight="1" thickBot="1">
      <c r="B58" s="128"/>
      <c r="C58" s="36"/>
      <c r="D58" s="36"/>
      <c r="E58" s="153"/>
      <c r="F58" s="124"/>
      <c r="G58" s="36"/>
      <c r="H58" s="36"/>
      <c r="I58" s="153"/>
      <c r="J58" s="36"/>
      <c r="K58" s="36"/>
      <c r="L58" s="36"/>
      <c r="M58" s="153"/>
      <c r="N58" s="126"/>
      <c r="O58" s="97"/>
      <c r="P58" s="78"/>
      <c r="Q58" s="99"/>
      <c r="R58" s="246" t="s">
        <v>174</v>
      </c>
      <c r="S58" s="238">
        <f t="shared" si="39"/>
        <v>0</v>
      </c>
      <c r="T58" s="238">
        <f t="shared" si="40"/>
      </c>
      <c r="U58" s="238">
        <f t="shared" si="41"/>
        <v>0</v>
      </c>
      <c r="V58" s="238">
        <f t="shared" si="42"/>
      </c>
      <c r="W58" s="64" t="s">
        <v>77</v>
      </c>
      <c r="X58" s="19">
        <v>3</v>
      </c>
      <c r="Y58" s="28" t="s">
        <v>78</v>
      </c>
      <c r="Z58" s="24" t="s">
        <v>85</v>
      </c>
      <c r="AD58" s="1">
        <v>58</v>
      </c>
      <c r="AE58" s="320">
        <f t="shared" si="2"/>
        <v>2000000</v>
      </c>
      <c r="AF58" s="336"/>
      <c r="AG58" s="38" t="str">
        <f aca="true" t="shared" si="123" ref="AG58:AG68">W71</f>
        <v>MA 112</v>
      </c>
      <c r="AH58" s="329">
        <f aca="true" t="shared" si="124" ref="AH58:AH68">X71</f>
        <v>3</v>
      </c>
      <c r="AI58" s="330">
        <f aca="true" t="shared" si="125" ref="AI58:AI68">Q71</f>
        <v>0</v>
      </c>
      <c r="AJ58" s="294">
        <f>IF(AE58&gt;999999,"",AG58)</f>
      </c>
      <c r="AK58" s="295" t="b">
        <f>IF(OR(LEFT(Q71,1)="T",S71/X71&gt;=2),TRUE,FALSE)</f>
        <v>0</v>
      </c>
      <c r="AL58" s="330">
        <f aca="true" t="shared" si="126" ref="AL58:AL68">IF(P71&gt;0,P71*100,1000000)+IF(LEFT(O71,2)="Sp",1,IF(LEFT(O71,2)="Su",5,IF(LEFT(O71,2)="Fa",9,1000000)))</f>
        <v>2000000</v>
      </c>
      <c r="AM58" s="322"/>
      <c r="AN58" s="108"/>
      <c r="AO58" s="37" t="b">
        <f>AE58&gt;999999</f>
        <v>1</v>
      </c>
      <c r="BA58" s="336">
        <f ca="1" t="shared" si="0"/>
      </c>
      <c r="BB58" s="336">
        <f ca="1" t="shared" si="101"/>
      </c>
      <c r="BC58" s="336">
        <f ca="1" t="shared" si="101"/>
      </c>
      <c r="BD58" s="336">
        <f ca="1" t="shared" si="101"/>
      </c>
      <c r="BE58" s="336">
        <f ca="1" t="shared" si="101"/>
      </c>
      <c r="BF58" s="336">
        <f ca="1" t="shared" si="101"/>
      </c>
      <c r="BG58" s="336">
        <f ca="1" t="shared" si="101"/>
      </c>
      <c r="BH58" s="336">
        <f ca="1" t="shared" si="101"/>
      </c>
      <c r="BI58" s="336">
        <f ca="1" t="shared" si="101"/>
      </c>
      <c r="BJ58" s="336">
        <f ca="1" t="shared" si="101"/>
      </c>
      <c r="BK58" s="336">
        <f ca="1" t="shared" si="101"/>
      </c>
      <c r="BL58" s="336">
        <f ca="1" t="shared" si="101"/>
      </c>
      <c r="BM58" s="336">
        <f ca="1" t="shared" si="101"/>
      </c>
      <c r="BN58" s="336">
        <f ca="1" t="shared" si="101"/>
      </c>
      <c r="BO58" s="336">
        <f ca="1" t="shared" si="101"/>
      </c>
      <c r="BQ58" s="175"/>
    </row>
    <row r="59" spans="2:79" ht="13.5" customHeight="1" thickBot="1">
      <c r="B59" s="406" t="str">
        <f>IF(OR($D$5="Spring",$D$5="Summer"),"Fall"&amp;" "&amp;$E$5+3,IF($D$5="Fall","Fall"&amp;" "&amp;$E$5+4,""))</f>
        <v>Fall 2017</v>
      </c>
      <c r="C59" s="407"/>
      <c r="D59" s="408"/>
      <c r="E59" s="156">
        <f>IF(LEFT(B59,2)="Sp",1,IF(LEFT(B59,2)="Su",5,9))+VALUE(RIGHT(B59,4))*100</f>
        <v>201709</v>
      </c>
      <c r="F59" s="406" t="str">
        <f>IF(F11="Spring"&amp;" "&amp;E5+1,"Spring"&amp;" "&amp;E5+5,"Spring"&amp;" "&amp;E5+4)</f>
        <v>Spring 2018</v>
      </c>
      <c r="G59" s="407"/>
      <c r="H59" s="408"/>
      <c r="I59" s="156">
        <f>IF(LEFT(F59,2)="Sp",1,IF(LEFT(F59,2)="Su",5,9))+VALUE(RIGHT(F59,4))*100</f>
        <v>201801</v>
      </c>
      <c r="J59" s="406" t="str">
        <f>IF(J11="Summer"&amp;" "&amp;E5+1,"Summer"&amp;" "&amp;E5+5,"Summer"&amp;" "&amp;E5+4)</f>
        <v>Summer 2018</v>
      </c>
      <c r="K59" s="407"/>
      <c r="L59" s="408"/>
      <c r="M59" s="156">
        <f>IF(LEFT(J59,2)="Sp",1,IF(LEFT(J59,2)="Su",5,9))+VALUE(RIGHT(J59,4))*100</f>
        <v>201805</v>
      </c>
      <c r="O59" s="97"/>
      <c r="P59" s="78"/>
      <c r="Q59" s="99"/>
      <c r="R59" s="246" t="s">
        <v>174</v>
      </c>
      <c r="S59" s="238">
        <f t="shared" si="39"/>
        <v>0</v>
      </c>
      <c r="T59" s="238">
        <f t="shared" si="40"/>
      </c>
      <c r="U59" s="238">
        <f t="shared" si="41"/>
        <v>0</v>
      </c>
      <c r="V59" s="238">
        <f t="shared" si="42"/>
      </c>
      <c r="W59" s="64" t="s">
        <v>67</v>
      </c>
      <c r="X59" s="20">
        <v>3</v>
      </c>
      <c r="Y59" s="28" t="s">
        <v>68</v>
      </c>
      <c r="Z59" s="24" t="s">
        <v>239</v>
      </c>
      <c r="AD59" s="1">
        <v>59</v>
      </c>
      <c r="AE59" s="320">
        <f t="shared" si="2"/>
        <v>2000000</v>
      </c>
      <c r="AF59" s="336"/>
      <c r="AG59" s="38" t="str">
        <f t="shared" si="123"/>
        <v>MA 113</v>
      </c>
      <c r="AH59" s="328">
        <f t="shared" si="124"/>
        <v>3</v>
      </c>
      <c r="AI59" s="320">
        <f t="shared" si="125"/>
        <v>0</v>
      </c>
      <c r="AJ59" s="294">
        <f>IF(AN59="y",AG59,IF(AE59=10101,AG59,IF(AE59&gt;999999,"",IF(AND(AE59&lt;=AE58,AE58&lt;999999),"PREREQ ERROR_MA 112",AG59))))</f>
      </c>
      <c r="AK59" s="158" t="b">
        <f>IF(OR(LEFT(Q72,1)="T",S72/X72&gt;=2),TRUE,FALSE)</f>
        <v>0</v>
      </c>
      <c r="AL59" s="320">
        <f t="shared" si="126"/>
        <v>2000000</v>
      </c>
      <c r="AM59" s="322"/>
      <c r="AN59" s="108"/>
      <c r="AO59" s="37" t="b">
        <f aca="true" t="shared" si="127" ref="AO59:AO80">AE59&gt;999999</f>
        <v>1</v>
      </c>
      <c r="BA59" s="336">
        <f ca="1" t="shared" si="0"/>
      </c>
      <c r="BB59" s="336">
        <f ca="1" t="shared" si="101"/>
      </c>
      <c r="BC59" s="336">
        <f ca="1" t="shared" si="101"/>
      </c>
      <c r="BD59" s="336">
        <f ca="1" t="shared" si="101"/>
      </c>
      <c r="BE59" s="336">
        <f ca="1" t="shared" si="101"/>
      </c>
      <c r="BF59" s="336">
        <f ca="1" t="shared" si="101"/>
      </c>
      <c r="BG59" s="336">
        <f ca="1" t="shared" si="101"/>
      </c>
      <c r="BH59" s="336">
        <f ca="1" t="shared" si="101"/>
      </c>
      <c r="BI59" s="336">
        <f ca="1" t="shared" si="101"/>
      </c>
      <c r="BJ59" s="336">
        <f ca="1" t="shared" si="101"/>
      </c>
      <c r="BK59" s="336">
        <f ca="1" t="shared" si="101"/>
      </c>
      <c r="BL59" s="336">
        <f ca="1" t="shared" si="101"/>
      </c>
      <c r="BM59" s="336">
        <f ca="1" t="shared" si="101"/>
      </c>
      <c r="BN59" s="336">
        <f ca="1" t="shared" si="101"/>
      </c>
      <c r="BO59" s="336">
        <f ca="1" t="shared" si="101"/>
      </c>
      <c r="BQ59" s="188">
        <f>E59</f>
        <v>201709</v>
      </c>
      <c r="BR59" s="189"/>
      <c r="BS59" s="190"/>
      <c r="BT59" s="153"/>
      <c r="BU59" s="188">
        <f>I59</f>
        <v>201801</v>
      </c>
      <c r="BV59" s="189"/>
      <c r="BW59" s="190"/>
      <c r="BX59" s="153"/>
      <c r="BY59" s="188">
        <f>M59</f>
        <v>201805</v>
      </c>
      <c r="BZ59" s="189"/>
      <c r="CA59" s="190"/>
    </row>
    <row r="60" spans="2:79" ht="13.5" customHeight="1">
      <c r="B60" s="135" t="s">
        <v>2</v>
      </c>
      <c r="C60" s="136" t="s">
        <v>3</v>
      </c>
      <c r="D60" s="137" t="s">
        <v>4</v>
      </c>
      <c r="E60" s="153"/>
      <c r="F60" s="135" t="s">
        <v>2</v>
      </c>
      <c r="G60" s="136" t="s">
        <v>3</v>
      </c>
      <c r="H60" s="137" t="s">
        <v>4</v>
      </c>
      <c r="I60" s="153"/>
      <c r="J60" s="135" t="s">
        <v>2</v>
      </c>
      <c r="K60" s="136" t="s">
        <v>3</v>
      </c>
      <c r="L60" s="137" t="s">
        <v>4</v>
      </c>
      <c r="M60" s="153"/>
      <c r="O60" s="97"/>
      <c r="P60" s="78"/>
      <c r="Q60" s="99"/>
      <c r="R60" s="246" t="s">
        <v>174</v>
      </c>
      <c r="S60" s="238">
        <f t="shared" si="39"/>
        <v>0</v>
      </c>
      <c r="T60" s="238">
        <f t="shared" si="40"/>
      </c>
      <c r="U60" s="238">
        <f t="shared" si="41"/>
        <v>0</v>
      </c>
      <c r="V60" s="238">
        <f t="shared" si="42"/>
      </c>
      <c r="W60" s="64" t="s">
        <v>48</v>
      </c>
      <c r="X60" s="19">
        <v>3</v>
      </c>
      <c r="Y60" s="27" t="s">
        <v>49</v>
      </c>
      <c r="Z60" s="16" t="s">
        <v>276</v>
      </c>
      <c r="AD60" s="1">
        <v>60</v>
      </c>
      <c r="AE60" s="320">
        <f t="shared" si="2"/>
        <v>2000000</v>
      </c>
      <c r="AF60" s="336"/>
      <c r="AG60" s="38" t="str">
        <f t="shared" si="123"/>
        <v>MA 115</v>
      </c>
      <c r="AH60" s="328">
        <f t="shared" si="124"/>
        <v>4</v>
      </c>
      <c r="AI60" s="320">
        <f t="shared" si="125"/>
        <v>0</v>
      </c>
      <c r="AJ60" s="294">
        <f aca="true" t="shared" si="128" ref="AJ60:AJ80">IF(AE60&gt;999999,"",AG60)</f>
      </c>
      <c r="AK60" s="158" t="b">
        <f>IF(OR(LEFT(Q73,1)="T",S73/X73&gt;=2),TRUE,FALSE)</f>
        <v>0</v>
      </c>
      <c r="AL60" s="320">
        <f t="shared" si="126"/>
        <v>2000000</v>
      </c>
      <c r="AM60" s="322"/>
      <c r="AN60" s="108"/>
      <c r="AO60" s="37" t="b">
        <f t="shared" si="127"/>
        <v>1</v>
      </c>
      <c r="BA60" s="336">
        <f ca="1" t="shared" si="0"/>
      </c>
      <c r="BB60" s="336">
        <f ca="1" t="shared" si="101"/>
      </c>
      <c r="BC60" s="336">
        <f ca="1" t="shared" si="101"/>
      </c>
      <c r="BD60" s="336">
        <f ca="1" t="shared" si="101"/>
      </c>
      <c r="BE60" s="336">
        <f ca="1" t="shared" si="101"/>
      </c>
      <c r="BF60" s="336">
        <f ca="1" t="shared" si="101"/>
      </c>
      <c r="BG60" s="336">
        <f ca="1" t="shared" si="101"/>
      </c>
      <c r="BH60" s="336">
        <f ca="1" t="shared" si="101"/>
      </c>
      <c r="BI60" s="336">
        <f ca="1" t="shared" si="101"/>
      </c>
      <c r="BJ60" s="336">
        <f ca="1" t="shared" si="101"/>
      </c>
      <c r="BK60" s="336">
        <f ca="1" t="shared" si="101"/>
      </c>
      <c r="BL60" s="336">
        <f ca="1" t="shared" si="101"/>
      </c>
      <c r="BM60" s="336">
        <f ca="1" t="shared" si="101"/>
      </c>
      <c r="BN60" s="336">
        <f ca="1" t="shared" si="101"/>
      </c>
      <c r="BO60" s="336">
        <f ca="1" t="shared" si="101"/>
      </c>
      <c r="BQ60" s="340" t="s">
        <v>153</v>
      </c>
      <c r="BR60" s="340" t="s">
        <v>155</v>
      </c>
      <c r="BS60" s="340" t="s">
        <v>156</v>
      </c>
      <c r="BT60" s="153"/>
      <c r="BU60" s="340" t="s">
        <v>153</v>
      </c>
      <c r="BV60" s="340" t="s">
        <v>155</v>
      </c>
      <c r="BW60" s="340" t="s">
        <v>156</v>
      </c>
      <c r="BX60" s="153"/>
      <c r="BY60" s="340" t="s">
        <v>153</v>
      </c>
      <c r="BZ60" s="340" t="s">
        <v>155</v>
      </c>
      <c r="CA60" s="340" t="s">
        <v>156</v>
      </c>
    </row>
    <row r="61" spans="2:79" ht="13.5" customHeight="1">
      <c r="B61" s="130">
        <f>IF(BR61=BS61,BR61,"Error "&amp;BQ61)</f>
      </c>
      <c r="C61" s="39">
        <f aca="true" t="shared" si="129" ref="C61:C67">IF(BQ61&gt;0,INDEX(AECourses,BQ61,2),"")</f>
      </c>
      <c r="D61" s="43">
        <f aca="true" t="shared" si="130" ref="D61:D67">IF(BQ61&gt;0,INDEX(AECourses,BQ61,3),"")</f>
      </c>
      <c r="E61" s="153">
        <f>IF(LEFT(D61,1)="a",4*C61,IF(LEFT(D61,1)="b",3*C61,IF(LEFT(D61,1)="c",2*C61,IF(LEFT(D61,1)="d",C61,IF(LEFT(D61,1)="f",0,"")))))</f>
      </c>
      <c r="F61" s="130">
        <f>IF(BV61=BW61,BV61,"Error "&amp;BU61)</f>
      </c>
      <c r="G61" s="39">
        <f aca="true" t="shared" si="131" ref="G61:G67">IF(BU61&gt;0,INDEX(AECourses,BU61,2),"")</f>
      </c>
      <c r="H61" s="43">
        <f aca="true" t="shared" si="132" ref="H61:H67">IF(BU61&gt;0,INDEX(AECourses,BU61,3),"")</f>
      </c>
      <c r="I61" s="153">
        <f>IF(LEFT(H61,1)="a",4*G61,IF(LEFT(H61,1)="b",3*G61,IF(LEFT(H61,1)="c",2*G61,IF(LEFT(H61,1)="d",G61,IF(LEFT(H61,1)="f",0,"")))))</f>
      </c>
      <c r="J61" s="130">
        <f>IF(BZ61=CA61,BZ61,"Error "&amp;BY61)</f>
      </c>
      <c r="K61" s="39">
        <f aca="true" t="shared" si="133" ref="K61:K67">IF(BY61&gt;0,INDEX(AECourses,BY61,2),"")</f>
      </c>
      <c r="L61" s="43">
        <f aca="true" t="shared" si="134" ref="L61:L67">IF(BY61&gt;0,INDEX(AECourses,BY61,3),"")</f>
      </c>
      <c r="M61" s="153">
        <f>IF(LEFT(L61,1)="a",4*K61,IF(LEFT(L61,1)="b",3*K61,IF(LEFT(L61,1)="c",2*K61,IF(LEFT(L61,1)="d",K61,IF(LEFT(L61,1)="f",0,"")))))</f>
      </c>
      <c r="O61" s="97"/>
      <c r="P61" s="78"/>
      <c r="Q61" s="99"/>
      <c r="R61" s="246" t="s">
        <v>174</v>
      </c>
      <c r="S61" s="238">
        <f t="shared" si="39"/>
        <v>0</v>
      </c>
      <c r="T61" s="238">
        <f t="shared" si="40"/>
      </c>
      <c r="U61" s="238">
        <f t="shared" si="41"/>
        <v>0</v>
      </c>
      <c r="V61" s="238">
        <f t="shared" si="42"/>
      </c>
      <c r="W61" s="64" t="s">
        <v>52</v>
      </c>
      <c r="X61" s="20">
        <v>3</v>
      </c>
      <c r="Y61" s="28" t="s">
        <v>53</v>
      </c>
      <c r="Z61" s="24" t="s">
        <v>241</v>
      </c>
      <c r="AD61" s="1">
        <v>61</v>
      </c>
      <c r="AE61" s="320">
        <f t="shared" si="2"/>
        <v>2000000</v>
      </c>
      <c r="AF61" s="336"/>
      <c r="AG61" s="38" t="str">
        <f t="shared" si="123"/>
        <v>CH 101</v>
      </c>
      <c r="AH61" s="328">
        <f t="shared" si="124"/>
        <v>3</v>
      </c>
      <c r="AI61" s="320">
        <f t="shared" si="125"/>
        <v>0</v>
      </c>
      <c r="AJ61" s="294">
        <f t="shared" si="128"/>
      </c>
      <c r="AK61" s="158" t="b">
        <f>IF(OR(LEFT(Q74,1)="T",S74/X74&gt;=2),TRUE,FALSE)</f>
        <v>0</v>
      </c>
      <c r="AL61" s="39">
        <f t="shared" si="126"/>
        <v>2000000</v>
      </c>
      <c r="AM61" s="322"/>
      <c r="AN61" s="108"/>
      <c r="AO61" s="37" t="b">
        <f t="shared" si="127"/>
        <v>1</v>
      </c>
      <c r="BA61" s="336">
        <f ca="1" t="shared" si="0"/>
      </c>
      <c r="BB61" s="336">
        <f ca="1" t="shared" si="101"/>
      </c>
      <c r="BC61" s="336">
        <f ca="1" t="shared" si="101"/>
      </c>
      <c r="BD61" s="336">
        <f ca="1" t="shared" si="101"/>
      </c>
      <c r="BE61" s="336">
        <f ca="1" t="shared" si="101"/>
      </c>
      <c r="BF61" s="336">
        <f ca="1" t="shared" si="101"/>
      </c>
      <c r="BG61" s="336">
        <f ca="1" t="shared" si="101"/>
      </c>
      <c r="BH61" s="336">
        <f ca="1" t="shared" si="101"/>
      </c>
      <c r="BI61" s="336">
        <f ca="1" t="shared" si="101"/>
      </c>
      <c r="BJ61" s="336">
        <f ca="1" t="shared" si="101"/>
      </c>
      <c r="BK61" s="336">
        <f ca="1" t="shared" si="101"/>
      </c>
      <c r="BL61" s="336">
        <f ca="1" t="shared" si="101"/>
      </c>
      <c r="BM61" s="336">
        <f ca="1" t="shared" si="101"/>
      </c>
      <c r="BN61" s="336">
        <f ca="1" t="shared" si="101"/>
      </c>
      <c r="BO61" s="336">
        <f ca="1" t="shared" si="101"/>
      </c>
      <c r="BQ61" s="176">
        <f aca="true" t="shared" si="135" ref="BQ61:BQ68">BM82</f>
        <v>0</v>
      </c>
      <c r="BR61" s="320">
        <f aca="true" t="shared" si="136" ref="BR61:BR68">IF(BQ61&gt;0,INDEX(AECourses,BQ61,1),"")</f>
      </c>
      <c r="BS61" s="320">
        <f aca="true" t="shared" si="137" ref="BS61:BS68">IF(BQ61&gt;0,INDEX(AECourses,BQ61,4),"")</f>
      </c>
      <c r="BT61" s="153"/>
      <c r="BU61" s="176">
        <f aca="true" t="shared" si="138" ref="BU61:BU68">BN82</f>
        <v>0</v>
      </c>
      <c r="BV61" s="320">
        <f aca="true" t="shared" si="139" ref="BV61:BV68">IF(BU61&gt;0,INDEX(AECourses,BU61,1),"")</f>
      </c>
      <c r="BW61" s="320">
        <f aca="true" t="shared" si="140" ref="BW61:BW68">IF(BU61&gt;0,INDEX(AECourses,BU61,4),"")</f>
      </c>
      <c r="BX61" s="153"/>
      <c r="BY61" s="176">
        <f aca="true" t="shared" si="141" ref="BY61:BY68">BO82</f>
        <v>0</v>
      </c>
      <c r="BZ61" s="320">
        <f aca="true" t="shared" si="142" ref="BZ61:BZ68">IF(BY61&gt;0,INDEX(AECourses,BY61,1),"")</f>
      </c>
      <c r="CA61" s="320">
        <f aca="true" t="shared" si="143" ref="CA61:CA68">IF(BY61&gt;0,INDEX(AECourses,BY61,4),"")</f>
      </c>
    </row>
    <row r="62" spans="2:79" ht="13.5" customHeight="1">
      <c r="B62" s="130">
        <f aca="true" t="shared" si="144" ref="B62:B67">IF(BR62=BS62,BR62,"Error "&amp;BQ62)</f>
      </c>
      <c r="C62" s="39">
        <f t="shared" si="129"/>
      </c>
      <c r="D62" s="43">
        <f t="shared" si="130"/>
      </c>
      <c r="E62" s="153">
        <f aca="true" t="shared" si="145" ref="E62:E67">IF(LEFT(D62,1)="a",4*C62,IF(LEFT(D62,1)="b",3*C62,IF(LEFT(D62,1)="c",2*C62,IF(LEFT(D62,1)="d",C62,IF(LEFT(D62,1)="f",0,"")))))</f>
      </c>
      <c r="F62" s="130">
        <f aca="true" t="shared" si="146" ref="F62:F67">IF(BV62=BW62,BV62,"Error "&amp;BU62)</f>
      </c>
      <c r="G62" s="39">
        <f t="shared" si="131"/>
      </c>
      <c r="H62" s="43">
        <f t="shared" si="132"/>
      </c>
      <c r="I62" s="153">
        <f aca="true" t="shared" si="147" ref="I62:I67">IF(LEFT(H62,1)="a",4*G62,IF(LEFT(H62,1)="b",3*G62,IF(LEFT(H62,1)="c",2*G62,IF(LEFT(H62,1)="d",G62,IF(LEFT(H62,1)="f",0,"")))))</f>
      </c>
      <c r="J62" s="130">
        <f aca="true" t="shared" si="148" ref="J62:J67">IF(BZ62=CA62,BZ62,"Error "&amp;BY62)</f>
      </c>
      <c r="K62" s="39">
        <f t="shared" si="133"/>
      </c>
      <c r="L62" s="43">
        <f t="shared" si="134"/>
      </c>
      <c r="M62" s="153">
        <f aca="true" t="shared" si="149" ref="M62:M67">IF(LEFT(L62,1)="a",4*K62,IF(LEFT(L62,1)="b",3*K62,IF(LEFT(L62,1)="c",2*K62,IF(LEFT(L62,1)="d",K62,IF(LEFT(L62,1)="f",0,"")))))</f>
      </c>
      <c r="O62" s="97"/>
      <c r="P62" s="78"/>
      <c r="Q62" s="99"/>
      <c r="R62" s="246" t="s">
        <v>174</v>
      </c>
      <c r="S62" s="238">
        <f t="shared" si="39"/>
        <v>0</v>
      </c>
      <c r="T62" s="238">
        <f t="shared" si="40"/>
      </c>
      <c r="U62" s="238">
        <f t="shared" si="41"/>
        <v>0</v>
      </c>
      <c r="V62" s="238">
        <f t="shared" si="42"/>
      </c>
      <c r="W62" s="249" t="s">
        <v>54</v>
      </c>
      <c r="X62" s="250">
        <v>3</v>
      </c>
      <c r="Y62" s="251" t="s">
        <v>235</v>
      </c>
      <c r="Z62" s="252" t="s">
        <v>277</v>
      </c>
      <c r="AA62" s="383" t="s">
        <v>70</v>
      </c>
      <c r="AB62" s="384"/>
      <c r="AD62" s="1">
        <v>62</v>
      </c>
      <c r="AE62" s="320">
        <f t="shared" si="2"/>
        <v>2000000</v>
      </c>
      <c r="AF62" s="336"/>
      <c r="AG62" s="38" t="str">
        <f t="shared" si="123"/>
        <v>CH 105</v>
      </c>
      <c r="AH62" s="328">
        <f t="shared" si="124"/>
        <v>1</v>
      </c>
      <c r="AI62" s="320">
        <f t="shared" si="125"/>
        <v>0</v>
      </c>
      <c r="AJ62" s="294">
        <f t="shared" si="128"/>
      </c>
      <c r="AK62" s="158" t="b">
        <f>IF(OR(LEFT(Q75,1)="T",S75/X75&gt;=2),TRUE,FALSE)</f>
        <v>0</v>
      </c>
      <c r="AL62" s="39">
        <f t="shared" si="126"/>
        <v>2000000</v>
      </c>
      <c r="AM62" s="322"/>
      <c r="AN62" s="108"/>
      <c r="AO62" s="37" t="b">
        <f t="shared" si="127"/>
        <v>1</v>
      </c>
      <c r="BA62" s="336">
        <f ca="1" t="shared" si="0"/>
      </c>
      <c r="BB62" s="336">
        <f ca="1" t="shared" si="101"/>
      </c>
      <c r="BC62" s="336">
        <f ca="1" t="shared" si="101"/>
      </c>
      <c r="BD62" s="336">
        <f ca="1" t="shared" si="101"/>
      </c>
      <c r="BE62" s="336">
        <f ca="1" t="shared" si="101"/>
      </c>
      <c r="BF62" s="336">
        <f ca="1" t="shared" si="101"/>
      </c>
      <c r="BG62" s="336">
        <f ca="1" t="shared" si="101"/>
      </c>
      <c r="BH62" s="336">
        <f ca="1" t="shared" si="101"/>
      </c>
      <c r="BI62" s="336">
        <f ca="1" t="shared" si="101"/>
      </c>
      <c r="BJ62" s="336">
        <f ca="1" t="shared" si="101"/>
      </c>
      <c r="BK62" s="336">
        <f ca="1" t="shared" si="101"/>
      </c>
      <c r="BL62" s="336">
        <f ca="1" t="shared" si="101"/>
      </c>
      <c r="BM62" s="336">
        <f ca="1" t="shared" si="101"/>
      </c>
      <c r="BN62" s="336">
        <f ca="1" t="shared" si="101"/>
      </c>
      <c r="BO62" s="336">
        <f ca="1" t="shared" si="101"/>
      </c>
      <c r="BQ62" s="178">
        <f t="shared" si="135"/>
        <v>0</v>
      </c>
      <c r="BR62" s="320">
        <f t="shared" si="136"/>
      </c>
      <c r="BS62" s="320">
        <f t="shared" si="137"/>
      </c>
      <c r="BT62" s="153"/>
      <c r="BU62" s="178">
        <f t="shared" si="138"/>
        <v>0</v>
      </c>
      <c r="BV62" s="320">
        <f t="shared" si="139"/>
      </c>
      <c r="BW62" s="320">
        <f t="shared" si="140"/>
      </c>
      <c r="BX62" s="153"/>
      <c r="BY62" s="178">
        <f t="shared" si="141"/>
        <v>0</v>
      </c>
      <c r="BZ62" s="320">
        <f t="shared" si="142"/>
      </c>
      <c r="CA62" s="320">
        <f t="shared" si="143"/>
      </c>
    </row>
    <row r="63" spans="2:79" ht="13.5" customHeight="1">
      <c r="B63" s="130">
        <f t="shared" si="144"/>
      </c>
      <c r="C63" s="39">
        <f t="shared" si="129"/>
      </c>
      <c r="D63" s="43">
        <f t="shared" si="130"/>
      </c>
      <c r="E63" s="153">
        <f t="shared" si="145"/>
      </c>
      <c r="F63" s="130">
        <f t="shared" si="146"/>
      </c>
      <c r="G63" s="39">
        <f t="shared" si="131"/>
      </c>
      <c r="H63" s="43">
        <f t="shared" si="132"/>
      </c>
      <c r="I63" s="153">
        <f t="shared" si="147"/>
      </c>
      <c r="J63" s="130">
        <f t="shared" si="148"/>
      </c>
      <c r="K63" s="39">
        <f t="shared" si="133"/>
      </c>
      <c r="L63" s="43">
        <f t="shared" si="134"/>
      </c>
      <c r="M63" s="153">
        <f t="shared" si="149"/>
      </c>
      <c r="O63" s="97"/>
      <c r="P63" s="78"/>
      <c r="Q63" s="99"/>
      <c r="R63" s="246" t="s">
        <v>174</v>
      </c>
      <c r="S63" s="238">
        <f t="shared" si="39"/>
        <v>0</v>
      </c>
      <c r="T63" s="238">
        <f t="shared" si="40"/>
      </c>
      <c r="U63" s="238">
        <f t="shared" si="41"/>
        <v>0</v>
      </c>
      <c r="V63" s="238">
        <f t="shared" si="42"/>
      </c>
      <c r="W63" s="249" t="s">
        <v>69</v>
      </c>
      <c r="X63" s="250">
        <v>3</v>
      </c>
      <c r="Y63" s="251" t="s">
        <v>236</v>
      </c>
      <c r="Z63" s="252" t="s">
        <v>277</v>
      </c>
      <c r="AA63" s="383"/>
      <c r="AB63" s="384"/>
      <c r="AD63" s="1">
        <v>63</v>
      </c>
      <c r="AE63" s="320">
        <f t="shared" si="2"/>
        <v>2000000</v>
      </c>
      <c r="AF63" s="336"/>
      <c r="AG63" s="38" t="str">
        <f t="shared" si="123"/>
        <v>CPE 112</v>
      </c>
      <c r="AH63" s="328">
        <f t="shared" si="124"/>
        <v>3</v>
      </c>
      <c r="AI63" s="320">
        <f t="shared" si="125"/>
        <v>0</v>
      </c>
      <c r="AJ63" s="294">
        <f t="shared" si="128"/>
      </c>
      <c r="AK63" s="293" t="b">
        <f aca="true" t="shared" si="150" ref="AK63:AK68">IF(X76=0,FALSE,IF(OR(LEFT(Q76,1)="T",S76/X76&gt;=2),TRUE,FALSE))</f>
        <v>0</v>
      </c>
      <c r="AL63" s="332">
        <f t="shared" si="126"/>
        <v>2000000</v>
      </c>
      <c r="AM63" s="322"/>
      <c r="AN63" s="108"/>
      <c r="AO63" s="37" t="b">
        <f t="shared" si="127"/>
        <v>1</v>
      </c>
      <c r="BA63" s="336">
        <f ca="1" t="shared" si="0"/>
      </c>
      <c r="BB63" s="336">
        <f ca="1" t="shared" si="101"/>
      </c>
      <c r="BC63" s="336">
        <f ca="1" t="shared" si="101"/>
      </c>
      <c r="BD63" s="336">
        <f ca="1" t="shared" si="101"/>
      </c>
      <c r="BE63" s="336">
        <f ca="1" t="shared" si="101"/>
      </c>
      <c r="BF63" s="336">
        <f ca="1" t="shared" si="101"/>
      </c>
      <c r="BG63" s="336">
        <f ca="1" t="shared" si="101"/>
      </c>
      <c r="BH63" s="336">
        <f ca="1" t="shared" si="101"/>
      </c>
      <c r="BI63" s="336">
        <f ca="1" t="shared" si="101"/>
      </c>
      <c r="BJ63" s="336">
        <f ca="1" t="shared" si="101"/>
      </c>
      <c r="BK63" s="336">
        <f ca="1" t="shared" si="101"/>
      </c>
      <c r="BL63" s="336">
        <f ca="1" t="shared" si="101"/>
      </c>
      <c r="BM63" s="336">
        <f ca="1" t="shared" si="101"/>
      </c>
      <c r="BN63" s="336">
        <f ca="1" t="shared" si="101"/>
      </c>
      <c r="BO63" s="336">
        <f ca="1" t="shared" si="101"/>
      </c>
      <c r="BQ63" s="178">
        <f t="shared" si="135"/>
        <v>0</v>
      </c>
      <c r="BR63" s="320">
        <f t="shared" si="136"/>
      </c>
      <c r="BS63" s="320">
        <f t="shared" si="137"/>
      </c>
      <c r="BT63" s="153"/>
      <c r="BU63" s="178">
        <f t="shared" si="138"/>
        <v>0</v>
      </c>
      <c r="BV63" s="320">
        <f t="shared" si="139"/>
      </c>
      <c r="BW63" s="320">
        <f t="shared" si="140"/>
      </c>
      <c r="BX63" s="153"/>
      <c r="BY63" s="178">
        <f t="shared" si="141"/>
        <v>0</v>
      </c>
      <c r="BZ63" s="320">
        <f t="shared" si="142"/>
      </c>
      <c r="CA63" s="320">
        <f t="shared" si="143"/>
      </c>
    </row>
    <row r="64" spans="2:79" ht="13.5" customHeight="1">
      <c r="B64" s="130">
        <f t="shared" si="144"/>
      </c>
      <c r="C64" s="39">
        <f t="shared" si="129"/>
      </c>
      <c r="D64" s="43">
        <f t="shared" si="130"/>
      </c>
      <c r="E64" s="153">
        <f t="shared" si="145"/>
      </c>
      <c r="F64" s="130">
        <f t="shared" si="146"/>
      </c>
      <c r="G64" s="39">
        <f t="shared" si="131"/>
      </c>
      <c r="H64" s="43">
        <f t="shared" si="132"/>
      </c>
      <c r="I64" s="153">
        <f t="shared" si="147"/>
      </c>
      <c r="J64" s="130">
        <f t="shared" si="148"/>
      </c>
      <c r="K64" s="39">
        <f t="shared" si="133"/>
      </c>
      <c r="L64" s="43">
        <f t="shared" si="134"/>
      </c>
      <c r="M64" s="153">
        <f t="shared" si="149"/>
      </c>
      <c r="O64" s="97"/>
      <c r="P64" s="78"/>
      <c r="Q64" s="99"/>
      <c r="R64" s="246" t="s">
        <v>174</v>
      </c>
      <c r="S64" s="238">
        <f t="shared" si="39"/>
        <v>0</v>
      </c>
      <c r="T64" s="238">
        <f t="shared" si="40"/>
      </c>
      <c r="U64" s="238">
        <f t="shared" si="41"/>
        <v>0</v>
      </c>
      <c r="V64" s="238">
        <f t="shared" si="42"/>
      </c>
      <c r="W64" s="249" t="s">
        <v>79</v>
      </c>
      <c r="X64" s="250">
        <v>3</v>
      </c>
      <c r="Y64" s="251" t="s">
        <v>80</v>
      </c>
      <c r="Z64" s="252" t="s">
        <v>277</v>
      </c>
      <c r="AA64" s="383"/>
      <c r="AB64" s="384"/>
      <c r="AD64" s="1">
        <v>64</v>
      </c>
      <c r="AE64" s="320">
        <f t="shared" si="2"/>
        <v>2000000</v>
      </c>
      <c r="AF64" s="336"/>
      <c r="AG64" s="38" t="str">
        <f t="shared" si="123"/>
        <v>CHE 197</v>
      </c>
      <c r="AH64" s="328">
        <f t="shared" si="124"/>
        <v>3</v>
      </c>
      <c r="AI64" s="320">
        <f t="shared" si="125"/>
        <v>0</v>
      </c>
      <c r="AJ64" s="294">
        <f t="shared" si="128"/>
      </c>
      <c r="AK64" s="293" t="b">
        <f t="shared" si="150"/>
        <v>0</v>
      </c>
      <c r="AL64" s="332">
        <f t="shared" si="126"/>
        <v>2000000</v>
      </c>
      <c r="AM64" s="322"/>
      <c r="AN64" s="108"/>
      <c r="AO64" s="37" t="b">
        <f t="shared" si="127"/>
        <v>1</v>
      </c>
      <c r="BA64" s="336">
        <f ca="1" t="shared" si="0"/>
      </c>
      <c r="BB64" s="336">
        <f ca="1" t="shared" si="101"/>
      </c>
      <c r="BC64" s="336">
        <f ca="1" t="shared" si="101"/>
      </c>
      <c r="BD64" s="336">
        <f ca="1" t="shared" si="101"/>
      </c>
      <c r="BE64" s="336">
        <f ca="1" t="shared" si="101"/>
      </c>
      <c r="BF64" s="336">
        <f ca="1" t="shared" si="101"/>
      </c>
      <c r="BG64" s="336">
        <f ca="1" t="shared" si="101"/>
      </c>
      <c r="BH64" s="336">
        <f ca="1" t="shared" si="101"/>
      </c>
      <c r="BI64" s="336">
        <f ca="1" t="shared" si="101"/>
      </c>
      <c r="BJ64" s="336">
        <f ca="1" t="shared" si="101"/>
      </c>
      <c r="BK64" s="336">
        <f ca="1" t="shared" si="101"/>
      </c>
      <c r="BL64" s="336">
        <f ca="1" t="shared" si="101"/>
      </c>
      <c r="BM64" s="336">
        <f ca="1" t="shared" si="101"/>
      </c>
      <c r="BN64" s="336">
        <f aca="true" ca="1" t="shared" si="151" ref="BB64:BO80">IF($AE64=BN$1,CELL("row",$AE64),"")</f>
      </c>
      <c r="BO64" s="336">
        <f ca="1" t="shared" si="151"/>
      </c>
      <c r="BQ64" s="178">
        <f t="shared" si="135"/>
        <v>0</v>
      </c>
      <c r="BR64" s="320">
        <f t="shared" si="136"/>
      </c>
      <c r="BS64" s="320">
        <f t="shared" si="137"/>
      </c>
      <c r="BT64" s="153"/>
      <c r="BU64" s="178">
        <f t="shared" si="138"/>
        <v>0</v>
      </c>
      <c r="BV64" s="320">
        <f t="shared" si="139"/>
      </c>
      <c r="BW64" s="320">
        <f t="shared" si="140"/>
      </c>
      <c r="BX64" s="153"/>
      <c r="BY64" s="178">
        <f t="shared" si="141"/>
        <v>0</v>
      </c>
      <c r="BZ64" s="320">
        <f t="shared" si="142"/>
      </c>
      <c r="CA64" s="320">
        <f t="shared" si="143"/>
      </c>
    </row>
    <row r="65" spans="2:79" ht="13.5" customHeight="1" thickBot="1">
      <c r="B65" s="130">
        <f t="shared" si="144"/>
      </c>
      <c r="C65" s="39">
        <f t="shared" si="129"/>
      </c>
      <c r="D65" s="43">
        <f t="shared" si="130"/>
      </c>
      <c r="E65" s="153">
        <f t="shared" si="145"/>
      </c>
      <c r="F65" s="130">
        <f t="shared" si="146"/>
      </c>
      <c r="G65" s="39">
        <f t="shared" si="131"/>
      </c>
      <c r="H65" s="43">
        <f t="shared" si="132"/>
      </c>
      <c r="I65" s="153">
        <f t="shared" si="147"/>
      </c>
      <c r="J65" s="130">
        <f t="shared" si="148"/>
      </c>
      <c r="K65" s="39">
        <f t="shared" si="133"/>
      </c>
      <c r="L65" s="43">
        <f t="shared" si="134"/>
      </c>
      <c r="M65" s="153">
        <f t="shared" si="149"/>
      </c>
      <c r="O65" s="96"/>
      <c r="P65" s="80"/>
      <c r="Q65" s="100"/>
      <c r="R65" s="247" t="s">
        <v>174</v>
      </c>
      <c r="S65" s="237">
        <f t="shared" si="39"/>
        <v>0</v>
      </c>
      <c r="T65" s="237">
        <f t="shared" si="40"/>
      </c>
      <c r="U65" s="237">
        <f t="shared" si="41"/>
        <v>0</v>
      </c>
      <c r="V65" s="237">
        <f t="shared" si="42"/>
      </c>
      <c r="W65" s="253" t="s">
        <v>81</v>
      </c>
      <c r="X65" s="254">
        <v>3</v>
      </c>
      <c r="Y65" s="255" t="s">
        <v>82</v>
      </c>
      <c r="Z65" s="252" t="s">
        <v>277</v>
      </c>
      <c r="AA65" s="383"/>
      <c r="AB65" s="384"/>
      <c r="AD65" s="1">
        <v>65</v>
      </c>
      <c r="AE65" s="320">
        <f t="shared" si="2"/>
        <v>2000000</v>
      </c>
      <c r="AF65" s="336"/>
      <c r="AG65" s="38" t="str">
        <f t="shared" si="123"/>
        <v>CHE 244</v>
      </c>
      <c r="AH65" s="328">
        <f t="shared" si="124"/>
        <v>3</v>
      </c>
      <c r="AI65" s="320">
        <f t="shared" si="125"/>
        <v>0</v>
      </c>
      <c r="AJ65" s="294">
        <f t="shared" si="128"/>
      </c>
      <c r="AK65" s="293" t="b">
        <f t="shared" si="150"/>
        <v>0</v>
      </c>
      <c r="AL65" s="332">
        <f t="shared" si="126"/>
        <v>2000000</v>
      </c>
      <c r="AM65" s="322"/>
      <c r="AN65" s="108"/>
      <c r="AO65" s="37" t="b">
        <f t="shared" si="127"/>
        <v>1</v>
      </c>
      <c r="BA65" s="336">
        <f ca="1" t="shared" si="0"/>
      </c>
      <c r="BB65" s="336">
        <f ca="1" t="shared" si="151"/>
      </c>
      <c r="BC65" s="336">
        <f ca="1" t="shared" si="151"/>
      </c>
      <c r="BD65" s="336">
        <f ca="1" t="shared" si="151"/>
      </c>
      <c r="BE65" s="336">
        <f ca="1" t="shared" si="151"/>
      </c>
      <c r="BF65" s="336">
        <f ca="1" t="shared" si="151"/>
      </c>
      <c r="BG65" s="336">
        <f ca="1" t="shared" si="151"/>
      </c>
      <c r="BH65" s="336">
        <f ca="1" t="shared" si="151"/>
      </c>
      <c r="BI65" s="336">
        <f ca="1" t="shared" si="151"/>
      </c>
      <c r="BJ65" s="336">
        <f ca="1" t="shared" si="151"/>
      </c>
      <c r="BK65" s="336">
        <f ca="1" t="shared" si="151"/>
      </c>
      <c r="BL65" s="336">
        <f ca="1" t="shared" si="151"/>
      </c>
      <c r="BM65" s="336">
        <f ca="1" t="shared" si="151"/>
      </c>
      <c r="BN65" s="336">
        <f ca="1" t="shared" si="151"/>
      </c>
      <c r="BO65" s="336">
        <f ca="1" t="shared" si="151"/>
      </c>
      <c r="BQ65" s="178">
        <f t="shared" si="135"/>
        <v>0</v>
      </c>
      <c r="BR65" s="320">
        <f t="shared" si="136"/>
      </c>
      <c r="BS65" s="320">
        <f t="shared" si="137"/>
      </c>
      <c r="BT65" s="153"/>
      <c r="BU65" s="178">
        <f t="shared" si="138"/>
        <v>0</v>
      </c>
      <c r="BV65" s="320">
        <f t="shared" si="139"/>
      </c>
      <c r="BW65" s="320">
        <f t="shared" si="140"/>
      </c>
      <c r="BX65" s="153"/>
      <c r="BY65" s="178">
        <f t="shared" si="141"/>
        <v>0</v>
      </c>
      <c r="BZ65" s="320">
        <f t="shared" si="142"/>
      </c>
      <c r="CA65" s="320">
        <f t="shared" si="143"/>
      </c>
    </row>
    <row r="66" spans="2:79" ht="13.5" customHeight="1" thickBot="1">
      <c r="B66" s="130">
        <f t="shared" si="144"/>
      </c>
      <c r="C66" s="39">
        <f t="shared" si="129"/>
      </c>
      <c r="D66" s="43">
        <f t="shared" si="130"/>
      </c>
      <c r="E66" s="153">
        <f t="shared" si="145"/>
      </c>
      <c r="F66" s="130">
        <f t="shared" si="146"/>
      </c>
      <c r="G66" s="39">
        <f t="shared" si="131"/>
      </c>
      <c r="H66" s="43">
        <f t="shared" si="132"/>
      </c>
      <c r="I66" s="153">
        <f t="shared" si="147"/>
      </c>
      <c r="J66" s="130">
        <f t="shared" si="148"/>
      </c>
      <c r="K66" s="39">
        <f t="shared" si="133"/>
      </c>
      <c r="L66" s="43">
        <f t="shared" si="134"/>
      </c>
      <c r="M66" s="153">
        <f t="shared" si="149"/>
      </c>
      <c r="O66" s="143" t="s">
        <v>87</v>
      </c>
      <c r="P66" s="144"/>
      <c r="Q66" s="144"/>
      <c r="R66" s="232"/>
      <c r="S66" s="305"/>
      <c r="T66" s="305"/>
      <c r="U66" s="305"/>
      <c r="V66" s="305"/>
      <c r="W66" s="144"/>
      <c r="X66" s="144"/>
      <c r="Y66" s="144"/>
      <c r="Z66" s="145"/>
      <c r="AD66" s="1">
        <v>66</v>
      </c>
      <c r="AE66" s="320">
        <f t="shared" si="2"/>
        <v>2000000</v>
      </c>
      <c r="AF66" s="336"/>
      <c r="AG66" s="38">
        <f t="shared" si="123"/>
        <v>0</v>
      </c>
      <c r="AH66" s="328">
        <f t="shared" si="124"/>
        <v>0</v>
      </c>
      <c r="AI66" s="320">
        <f t="shared" si="125"/>
        <v>0</v>
      </c>
      <c r="AJ66" s="294">
        <f t="shared" si="128"/>
      </c>
      <c r="AK66" s="293" t="b">
        <f t="shared" si="150"/>
        <v>0</v>
      </c>
      <c r="AL66" s="332">
        <f t="shared" si="126"/>
        <v>2000000</v>
      </c>
      <c r="AM66" s="322"/>
      <c r="AN66" s="108"/>
      <c r="AO66" s="37" t="b">
        <f t="shared" si="127"/>
        <v>1</v>
      </c>
      <c r="BA66" s="336">
        <f aca="true" ca="1" t="shared" si="152" ref="BA66:BA80">IF($AE66=BA$1,CELL("row",$AE66),"")</f>
      </c>
      <c r="BB66" s="336">
        <f ca="1" t="shared" si="151"/>
      </c>
      <c r="BC66" s="336">
        <f ca="1" t="shared" si="151"/>
      </c>
      <c r="BD66" s="336">
        <f ca="1" t="shared" si="151"/>
      </c>
      <c r="BE66" s="336">
        <f ca="1" t="shared" si="151"/>
      </c>
      <c r="BF66" s="336">
        <f ca="1" t="shared" si="151"/>
      </c>
      <c r="BG66" s="336">
        <f ca="1" t="shared" si="151"/>
      </c>
      <c r="BH66" s="336">
        <f ca="1" t="shared" si="151"/>
      </c>
      <c r="BI66" s="336">
        <f ca="1" t="shared" si="151"/>
      </c>
      <c r="BJ66" s="336">
        <f ca="1" t="shared" si="151"/>
      </c>
      <c r="BK66" s="336">
        <f ca="1" t="shared" si="151"/>
      </c>
      <c r="BL66" s="336">
        <f ca="1" t="shared" si="151"/>
      </c>
      <c r="BM66" s="336">
        <f ca="1" t="shared" si="151"/>
      </c>
      <c r="BN66" s="336">
        <f ca="1" t="shared" si="151"/>
      </c>
      <c r="BO66" s="336">
        <f ca="1" t="shared" si="151"/>
      </c>
      <c r="BQ66" s="178">
        <f t="shared" si="135"/>
        <v>0</v>
      </c>
      <c r="BR66" s="320">
        <f t="shared" si="136"/>
      </c>
      <c r="BS66" s="320">
        <f t="shared" si="137"/>
      </c>
      <c r="BT66" s="153"/>
      <c r="BU66" s="178">
        <f t="shared" si="138"/>
        <v>0</v>
      </c>
      <c r="BV66" s="320">
        <f t="shared" si="139"/>
      </c>
      <c r="BW66" s="320">
        <f t="shared" si="140"/>
      </c>
      <c r="BX66" s="153"/>
      <c r="BY66" s="178">
        <f t="shared" si="141"/>
        <v>0</v>
      </c>
      <c r="BZ66" s="320">
        <f t="shared" si="142"/>
      </c>
      <c r="CA66" s="320">
        <f t="shared" si="143"/>
      </c>
    </row>
    <row r="67" spans="2:79" ht="13.5" customHeight="1" thickBot="1">
      <c r="B67" s="369">
        <f t="shared" si="144"/>
      </c>
      <c r="C67" s="370">
        <f t="shared" si="129"/>
      </c>
      <c r="D67" s="371">
        <f t="shared" si="130"/>
      </c>
      <c r="E67" s="153">
        <f t="shared" si="145"/>
      </c>
      <c r="F67" s="369">
        <f t="shared" si="146"/>
      </c>
      <c r="G67" s="370">
        <f t="shared" si="131"/>
      </c>
      <c r="H67" s="371">
        <f t="shared" si="132"/>
      </c>
      <c r="I67" s="153">
        <f t="shared" si="147"/>
      </c>
      <c r="J67" s="369">
        <f t="shared" si="148"/>
      </c>
      <c r="K67" s="370">
        <f t="shared" si="133"/>
      </c>
      <c r="L67" s="371">
        <f t="shared" si="134"/>
      </c>
      <c r="M67" s="153">
        <f t="shared" si="149"/>
      </c>
      <c r="N67" s="45"/>
      <c r="O67" s="95"/>
      <c r="P67" s="85"/>
      <c r="Q67" s="95"/>
      <c r="R67" s="236" t="s">
        <v>174</v>
      </c>
      <c r="S67" s="236">
        <f t="shared" si="39"/>
        <v>0</v>
      </c>
      <c r="T67" s="236">
        <f t="shared" si="40"/>
      </c>
      <c r="U67" s="236">
        <f t="shared" si="41"/>
        <v>0</v>
      </c>
      <c r="V67" s="236">
        <f t="shared" si="42"/>
      </c>
      <c r="W67" s="91" t="s">
        <v>175</v>
      </c>
      <c r="X67" s="101">
        <v>3</v>
      </c>
      <c r="Y67" s="419" t="s">
        <v>207</v>
      </c>
      <c r="Z67" s="422" t="s">
        <v>308</v>
      </c>
      <c r="AD67" s="1">
        <v>67</v>
      </c>
      <c r="AE67" s="320">
        <f t="shared" si="2"/>
        <v>2000000</v>
      </c>
      <c r="AF67" s="336"/>
      <c r="AG67" s="38">
        <f t="shared" si="123"/>
        <v>0</v>
      </c>
      <c r="AH67" s="328">
        <f t="shared" si="124"/>
        <v>0</v>
      </c>
      <c r="AI67" s="320">
        <f t="shared" si="125"/>
        <v>0</v>
      </c>
      <c r="AJ67" s="294">
        <f t="shared" si="128"/>
      </c>
      <c r="AK67" s="293" t="b">
        <f t="shared" si="150"/>
        <v>0</v>
      </c>
      <c r="AL67" s="332">
        <f t="shared" si="126"/>
        <v>2000000</v>
      </c>
      <c r="AM67" s="322"/>
      <c r="AN67" s="108"/>
      <c r="AO67" s="37" t="b">
        <f t="shared" si="127"/>
        <v>1</v>
      </c>
      <c r="BA67" s="336">
        <f ca="1" t="shared" si="152"/>
      </c>
      <c r="BB67" s="336">
        <f ca="1" t="shared" si="151"/>
      </c>
      <c r="BC67" s="336">
        <f ca="1" t="shared" si="151"/>
      </c>
      <c r="BD67" s="336">
        <f ca="1" t="shared" si="151"/>
      </c>
      <c r="BE67" s="336">
        <f ca="1" t="shared" si="151"/>
      </c>
      <c r="BF67" s="336">
        <f ca="1" t="shared" si="151"/>
      </c>
      <c r="BG67" s="336">
        <f ca="1" t="shared" si="151"/>
      </c>
      <c r="BH67" s="336">
        <f ca="1" t="shared" si="151"/>
      </c>
      <c r="BI67" s="336">
        <f ca="1" t="shared" si="151"/>
      </c>
      <c r="BJ67" s="336">
        <f ca="1" t="shared" si="151"/>
      </c>
      <c r="BK67" s="336">
        <f ca="1" t="shared" si="151"/>
      </c>
      <c r="BL67" s="336">
        <f ca="1" t="shared" si="151"/>
      </c>
      <c r="BM67" s="336">
        <f ca="1" t="shared" si="151"/>
      </c>
      <c r="BN67" s="336">
        <f ca="1" t="shared" si="151"/>
      </c>
      <c r="BO67" s="336">
        <f ca="1" t="shared" si="151"/>
      </c>
      <c r="BQ67" s="178">
        <f t="shared" si="135"/>
        <v>0</v>
      </c>
      <c r="BR67" s="320">
        <f t="shared" si="136"/>
      </c>
      <c r="BS67" s="320">
        <f t="shared" si="137"/>
      </c>
      <c r="BT67" s="153"/>
      <c r="BU67" s="178">
        <f t="shared" si="138"/>
        <v>0</v>
      </c>
      <c r="BV67" s="320">
        <f t="shared" si="139"/>
      </c>
      <c r="BW67" s="320">
        <f t="shared" si="140"/>
      </c>
      <c r="BX67" s="153"/>
      <c r="BY67" s="178">
        <f t="shared" si="141"/>
        <v>0</v>
      </c>
      <c r="BZ67" s="320">
        <f t="shared" si="142"/>
      </c>
      <c r="CA67" s="320">
        <f t="shared" si="143"/>
      </c>
    </row>
    <row r="68" spans="2:79" ht="13.5" customHeight="1" thickBot="1" thickTop="1">
      <c r="B68" s="372">
        <f>IF(BQ68&lt;&gt;0,"Excess "&amp;BQ68,"")</f>
      </c>
      <c r="C68" s="373">
        <f>SUM(C61:C67)</f>
        <v>0</v>
      </c>
      <c r="D68" s="374"/>
      <c r="E68" s="153"/>
      <c r="F68" s="372">
        <f>IF(BU68&lt;&gt;0,"Excess "&amp;BU68,"")</f>
      </c>
      <c r="G68" s="373">
        <f>SUM(G61:G67)</f>
        <v>0</v>
      </c>
      <c r="H68" s="374"/>
      <c r="I68" s="153"/>
      <c r="J68" s="372">
        <f>IF(BY68&lt;&gt;0,"Excess "&amp;BY68,"")</f>
      </c>
      <c r="K68" s="373">
        <f>SUM(K61:K67)</f>
        <v>0</v>
      </c>
      <c r="L68" s="374"/>
      <c r="M68" s="156"/>
      <c r="O68" s="102"/>
      <c r="P68" s="103"/>
      <c r="Q68" s="102"/>
      <c r="R68" s="242" t="s">
        <v>174</v>
      </c>
      <c r="S68" s="238">
        <f t="shared" si="39"/>
        <v>0</v>
      </c>
      <c r="T68" s="238">
        <f t="shared" si="40"/>
      </c>
      <c r="U68" s="238">
        <f t="shared" si="41"/>
        <v>0</v>
      </c>
      <c r="V68" s="238">
        <f t="shared" si="42"/>
      </c>
      <c r="W68" s="117" t="s">
        <v>175</v>
      </c>
      <c r="X68" s="104">
        <v>3</v>
      </c>
      <c r="Y68" s="420"/>
      <c r="Z68" s="423"/>
      <c r="AD68" s="1">
        <v>68</v>
      </c>
      <c r="AE68" s="320">
        <f aca="true" t="shared" si="153" ref="AE68:AE80">IF(AND(AK68,AL68&gt;999999),10101,AL68)</f>
        <v>2000000</v>
      </c>
      <c r="AF68" s="336"/>
      <c r="AG68" s="38">
        <f t="shared" si="123"/>
        <v>0</v>
      </c>
      <c r="AH68" s="328">
        <f t="shared" si="124"/>
        <v>0</v>
      </c>
      <c r="AI68" s="320">
        <f t="shared" si="125"/>
        <v>0</v>
      </c>
      <c r="AJ68" s="294">
        <f t="shared" si="128"/>
      </c>
      <c r="AK68" s="293" t="b">
        <f t="shared" si="150"/>
        <v>0</v>
      </c>
      <c r="AL68" s="332">
        <f t="shared" si="126"/>
        <v>2000000</v>
      </c>
      <c r="AM68" s="322"/>
      <c r="AN68" s="108"/>
      <c r="AO68" s="37" t="b">
        <f t="shared" si="127"/>
        <v>1</v>
      </c>
      <c r="BA68" s="336">
        <f ca="1" t="shared" si="152"/>
      </c>
      <c r="BB68" s="336">
        <f ca="1" t="shared" si="151"/>
      </c>
      <c r="BC68" s="336">
        <f ca="1" t="shared" si="151"/>
      </c>
      <c r="BD68" s="336">
        <f ca="1" t="shared" si="151"/>
      </c>
      <c r="BE68" s="336">
        <f ca="1" t="shared" si="151"/>
      </c>
      <c r="BF68" s="336">
        <f ca="1" t="shared" si="151"/>
      </c>
      <c r="BG68" s="336">
        <f ca="1" t="shared" si="151"/>
      </c>
      <c r="BH68" s="336">
        <f ca="1" t="shared" si="151"/>
      </c>
      <c r="BI68" s="336">
        <f ca="1" t="shared" si="151"/>
      </c>
      <c r="BJ68" s="336">
        <f ca="1" t="shared" si="151"/>
      </c>
      <c r="BK68" s="336">
        <f ca="1" t="shared" si="151"/>
      </c>
      <c r="BL68" s="336">
        <f ca="1" t="shared" si="151"/>
      </c>
      <c r="BM68" s="336">
        <f ca="1" t="shared" si="151"/>
      </c>
      <c r="BN68" s="336">
        <f ca="1" t="shared" si="151"/>
      </c>
      <c r="BO68" s="336">
        <f ca="1" t="shared" si="151"/>
      </c>
      <c r="BQ68" s="178">
        <f t="shared" si="135"/>
        <v>0</v>
      </c>
      <c r="BR68" s="320">
        <f t="shared" si="136"/>
      </c>
      <c r="BS68" s="320">
        <f t="shared" si="137"/>
      </c>
      <c r="BT68" s="153"/>
      <c r="BU68" s="178">
        <f t="shared" si="138"/>
        <v>0</v>
      </c>
      <c r="BV68" s="320">
        <f t="shared" si="139"/>
      </c>
      <c r="BW68" s="320">
        <f t="shared" si="140"/>
      </c>
      <c r="BX68" s="153"/>
      <c r="BY68" s="178">
        <f t="shared" si="141"/>
        <v>0</v>
      </c>
      <c r="BZ68" s="320">
        <f t="shared" si="142"/>
      </c>
      <c r="CA68" s="320">
        <f t="shared" si="143"/>
      </c>
    </row>
    <row r="69" spans="2:67" ht="13.5" customHeight="1" thickBot="1">
      <c r="B69" s="138"/>
      <c r="C69" s="152" t="s">
        <v>137</v>
      </c>
      <c r="D69" s="154">
        <f>IF(SUMIF(E61:E67,"&gt;=0",C61:C67)&gt;0,SUM(E61:E67)/SUMIF(E61:E67,"&gt;=0",C61:C67),"")</f>
      </c>
      <c r="E69" s="153"/>
      <c r="F69" s="139"/>
      <c r="G69" s="152" t="s">
        <v>137</v>
      </c>
      <c r="H69" s="154">
        <f>IF(SUMIF(I61:I67,"&gt;=0",G61:G67)&gt;0,SUM(I61:I67)/SUMIF(I61:I67,"&gt;=0",G61:G67),"")</f>
      </c>
      <c r="I69" s="153"/>
      <c r="J69" s="139"/>
      <c r="K69" s="152" t="s">
        <v>137</v>
      </c>
      <c r="L69" s="154">
        <f>IF(SUMIF(M61:M67,"&gt;=0",K61:K67)&gt;0,SUM(M61:M67)/SUMIF(M61:M67,"&gt;=0",K61:K67),"")</f>
      </c>
      <c r="O69" s="96"/>
      <c r="P69" s="80"/>
      <c r="Q69" s="96"/>
      <c r="R69" s="237" t="s">
        <v>174</v>
      </c>
      <c r="S69" s="237">
        <f t="shared" si="39"/>
        <v>0</v>
      </c>
      <c r="T69" s="237">
        <f t="shared" si="40"/>
      </c>
      <c r="U69" s="237">
        <f t="shared" si="41"/>
        <v>0</v>
      </c>
      <c r="V69" s="237">
        <f t="shared" si="42"/>
      </c>
      <c r="W69" s="93"/>
      <c r="X69" s="105"/>
      <c r="Y69" s="421"/>
      <c r="Z69" s="424"/>
      <c r="AA69" s="21"/>
      <c r="AB69" s="21"/>
      <c r="AD69" s="1">
        <v>69</v>
      </c>
      <c r="AE69" s="320">
        <f t="shared" si="153"/>
        <v>2000000</v>
      </c>
      <c r="AF69" s="336"/>
      <c r="AG69" s="38" t="str">
        <f aca="true" t="shared" si="154" ref="AG69:AG80">W83</f>
        <v>EH 105</v>
      </c>
      <c r="AH69" s="329">
        <f aca="true" t="shared" si="155" ref="AH69:AH80">X83</f>
        <v>3</v>
      </c>
      <c r="AI69" s="330">
        <f aca="true" t="shared" si="156" ref="AI69:AI80">Q83</f>
        <v>0</v>
      </c>
      <c r="AJ69" s="294">
        <f t="shared" si="128"/>
      </c>
      <c r="AK69" s="295" t="b">
        <f aca="true" t="shared" si="157" ref="AK69:AK80">IF(X83=0,FALSE,IF(OR(LEFT(Q83,1)="T",S83/X83&gt;=2),TRUE,FALSE))</f>
        <v>0</v>
      </c>
      <c r="AL69" s="330">
        <f aca="true" t="shared" si="158" ref="AL69:AL80">IF(P83&gt;0,P83*100,1000000)+IF(LEFT(O83,2)="Sp",1,IF(LEFT(O83,2)="Su",5,IF(LEFT(O83,2)="Fa",9,1000000)))</f>
        <v>2000000</v>
      </c>
      <c r="AM69" s="322"/>
      <c r="AN69" s="108"/>
      <c r="AO69" s="37" t="b">
        <f t="shared" si="127"/>
        <v>1</v>
      </c>
      <c r="BA69" s="336">
        <f ca="1" t="shared" si="152"/>
      </c>
      <c r="BB69" s="336">
        <f ca="1" t="shared" si="151"/>
      </c>
      <c r="BC69" s="336">
        <f ca="1" t="shared" si="151"/>
      </c>
      <c r="BD69" s="336">
        <f ca="1" t="shared" si="151"/>
      </c>
      <c r="BE69" s="336">
        <f ca="1" t="shared" si="151"/>
      </c>
      <c r="BF69" s="336">
        <f ca="1" t="shared" si="151"/>
      </c>
      <c r="BG69" s="336">
        <f ca="1" t="shared" si="151"/>
      </c>
      <c r="BH69" s="336">
        <f ca="1" t="shared" si="151"/>
      </c>
      <c r="BI69" s="336">
        <f ca="1" t="shared" si="151"/>
      </c>
      <c r="BJ69" s="336">
        <f ca="1" t="shared" si="151"/>
      </c>
      <c r="BK69" s="336">
        <f ca="1" t="shared" si="151"/>
      </c>
      <c r="BL69" s="336">
        <f ca="1" t="shared" si="151"/>
      </c>
      <c r="BM69" s="336">
        <f ca="1" t="shared" si="151"/>
      </c>
      <c r="BN69" s="336">
        <f ca="1" t="shared" si="151"/>
      </c>
      <c r="BO69" s="336">
        <f ca="1" t="shared" si="151"/>
      </c>
    </row>
    <row r="70" spans="2:67" ht="13.5" customHeight="1" thickBot="1">
      <c r="B70" s="2"/>
      <c r="O70" s="143" t="s">
        <v>179</v>
      </c>
      <c r="P70" s="150"/>
      <c r="Q70" s="150"/>
      <c r="R70" s="235"/>
      <c r="S70" s="308"/>
      <c r="T70" s="308"/>
      <c r="U70" s="308"/>
      <c r="V70" s="308"/>
      <c r="W70" s="150"/>
      <c r="X70" s="150"/>
      <c r="Y70" s="150"/>
      <c r="Z70" s="151"/>
      <c r="AA70" s="22"/>
      <c r="AB70" s="22"/>
      <c r="AD70" s="1">
        <v>70</v>
      </c>
      <c r="AE70" s="320">
        <f t="shared" si="153"/>
        <v>2000000</v>
      </c>
      <c r="AF70" s="336"/>
      <c r="AG70" s="38">
        <f t="shared" si="154"/>
        <v>0</v>
      </c>
      <c r="AH70" s="328">
        <f t="shared" si="155"/>
        <v>0</v>
      </c>
      <c r="AI70" s="320">
        <f t="shared" si="156"/>
        <v>0</v>
      </c>
      <c r="AJ70" s="294">
        <f t="shared" si="128"/>
      </c>
      <c r="AK70" s="293" t="b">
        <f t="shared" si="157"/>
        <v>0</v>
      </c>
      <c r="AL70" s="332">
        <f t="shared" si="158"/>
        <v>2000000</v>
      </c>
      <c r="AM70" s="322"/>
      <c r="AN70" s="108"/>
      <c r="AO70" s="37" t="b">
        <f t="shared" si="127"/>
        <v>1</v>
      </c>
      <c r="BA70" s="336">
        <f ca="1" t="shared" si="152"/>
      </c>
      <c r="BB70" s="336">
        <f ca="1" t="shared" si="151"/>
      </c>
      <c r="BC70" s="336">
        <f ca="1" t="shared" si="151"/>
      </c>
      <c r="BD70" s="336">
        <f ca="1" t="shared" si="151"/>
      </c>
      <c r="BE70" s="336">
        <f ca="1" t="shared" si="151"/>
      </c>
      <c r="BF70" s="336">
        <f ca="1" t="shared" si="151"/>
      </c>
      <c r="BG70" s="336">
        <f ca="1" t="shared" si="151"/>
      </c>
      <c r="BH70" s="336">
        <f ca="1" t="shared" si="151"/>
      </c>
      <c r="BI70" s="336">
        <f ca="1" t="shared" si="151"/>
      </c>
      <c r="BJ70" s="336">
        <f ca="1" t="shared" si="151"/>
      </c>
      <c r="BK70" s="336">
        <f ca="1" t="shared" si="151"/>
      </c>
      <c r="BL70" s="336">
        <f ca="1" t="shared" si="151"/>
      </c>
      <c r="BM70" s="336">
        <f ca="1" t="shared" si="151"/>
      </c>
      <c r="BN70" s="336">
        <f ca="1" t="shared" si="151"/>
      </c>
      <c r="BO70" s="336">
        <f ca="1" t="shared" si="151"/>
      </c>
    </row>
    <row r="71" spans="2:67" ht="13.5" customHeight="1">
      <c r="B71" s="2"/>
      <c r="O71" s="95"/>
      <c r="P71" s="86"/>
      <c r="Q71" s="106"/>
      <c r="R71" s="297" t="s">
        <v>171</v>
      </c>
      <c r="S71" s="236">
        <f t="shared" si="39"/>
        <v>0</v>
      </c>
      <c r="T71" s="236">
        <f t="shared" si="40"/>
      </c>
      <c r="U71" s="236">
        <f t="shared" si="41"/>
      </c>
      <c r="V71" s="236">
        <f t="shared" si="42"/>
      </c>
      <c r="W71" s="287" t="s">
        <v>123</v>
      </c>
      <c r="X71" s="309">
        <v>3</v>
      </c>
      <c r="Y71" s="288" t="s">
        <v>145</v>
      </c>
      <c r="Z71" s="289"/>
      <c r="AD71" s="1">
        <v>71</v>
      </c>
      <c r="AE71" s="320">
        <f t="shared" si="153"/>
        <v>2000000</v>
      </c>
      <c r="AF71" s="336"/>
      <c r="AG71" s="38">
        <f t="shared" si="154"/>
        <v>0</v>
      </c>
      <c r="AH71" s="328">
        <f t="shared" si="155"/>
        <v>0</v>
      </c>
      <c r="AI71" s="320">
        <f t="shared" si="156"/>
        <v>0</v>
      </c>
      <c r="AJ71" s="294">
        <f t="shared" si="128"/>
      </c>
      <c r="AK71" s="293" t="b">
        <f t="shared" si="157"/>
        <v>0</v>
      </c>
      <c r="AL71" s="332">
        <f t="shared" si="158"/>
        <v>2000000</v>
      </c>
      <c r="AM71" s="322"/>
      <c r="AN71" s="108"/>
      <c r="AO71" s="37" t="b">
        <f t="shared" si="127"/>
        <v>1</v>
      </c>
      <c r="BA71" s="336">
        <f ca="1" t="shared" si="152"/>
      </c>
      <c r="BB71" s="336">
        <f ca="1" t="shared" si="151"/>
      </c>
      <c r="BC71" s="336">
        <f ca="1" t="shared" si="151"/>
      </c>
      <c r="BD71" s="336">
        <f ca="1" t="shared" si="151"/>
      </c>
      <c r="BE71" s="336">
        <f ca="1" t="shared" si="151"/>
      </c>
      <c r="BF71" s="336">
        <f ca="1" t="shared" si="151"/>
      </c>
      <c r="BG71" s="336">
        <f ca="1" t="shared" si="151"/>
      </c>
      <c r="BH71" s="336">
        <f ca="1" t="shared" si="151"/>
      </c>
      <c r="BI71" s="336">
        <f ca="1" t="shared" si="151"/>
      </c>
      <c r="BJ71" s="336">
        <f ca="1" t="shared" si="151"/>
      </c>
      <c r="BK71" s="336">
        <f ca="1" t="shared" si="151"/>
      </c>
      <c r="BL71" s="336">
        <f ca="1" t="shared" si="151"/>
      </c>
      <c r="BM71" s="336">
        <f ca="1" t="shared" si="151"/>
      </c>
      <c r="BN71" s="336">
        <f ca="1" t="shared" si="151"/>
      </c>
      <c r="BO71" s="336">
        <f ca="1" t="shared" si="151"/>
      </c>
    </row>
    <row r="72" spans="13:67" ht="13.5" customHeight="1">
      <c r="M72" s="45"/>
      <c r="O72" s="97"/>
      <c r="P72" s="75"/>
      <c r="Q72" s="99"/>
      <c r="R72" s="246" t="s">
        <v>171</v>
      </c>
      <c r="S72" s="238">
        <f t="shared" si="39"/>
        <v>0</v>
      </c>
      <c r="T72" s="238">
        <f t="shared" si="40"/>
      </c>
      <c r="U72" s="238">
        <f t="shared" si="41"/>
      </c>
      <c r="V72" s="238">
        <f t="shared" si="42"/>
      </c>
      <c r="W72" s="46" t="s">
        <v>124</v>
      </c>
      <c r="X72" s="66">
        <v>3</v>
      </c>
      <c r="Y72" s="59" t="s">
        <v>146</v>
      </c>
      <c r="Z72" s="167"/>
      <c r="AD72" s="1">
        <v>72</v>
      </c>
      <c r="AE72" s="320">
        <f t="shared" si="153"/>
        <v>2000000</v>
      </c>
      <c r="AF72" s="336"/>
      <c r="AG72" s="38">
        <f t="shared" si="154"/>
        <v>0</v>
      </c>
      <c r="AH72" s="328">
        <f t="shared" si="155"/>
        <v>0</v>
      </c>
      <c r="AI72" s="320">
        <f t="shared" si="156"/>
        <v>0</v>
      </c>
      <c r="AJ72" s="294">
        <f t="shared" si="128"/>
      </c>
      <c r="AK72" s="293" t="b">
        <f t="shared" si="157"/>
        <v>0</v>
      </c>
      <c r="AL72" s="332">
        <f t="shared" si="158"/>
        <v>2000000</v>
      </c>
      <c r="AM72" s="322"/>
      <c r="AN72" s="108"/>
      <c r="AO72" s="37" t="b">
        <f t="shared" si="127"/>
        <v>1</v>
      </c>
      <c r="BA72" s="336">
        <f ca="1" t="shared" si="152"/>
      </c>
      <c r="BB72" s="336">
        <f ca="1" t="shared" si="151"/>
      </c>
      <c r="BC72" s="336">
        <f ca="1" t="shared" si="151"/>
      </c>
      <c r="BD72" s="336">
        <f ca="1" t="shared" si="151"/>
      </c>
      <c r="BE72" s="336">
        <f ca="1" t="shared" si="151"/>
      </c>
      <c r="BF72" s="336">
        <f ca="1" t="shared" si="151"/>
      </c>
      <c r="BG72" s="336">
        <f ca="1" t="shared" si="151"/>
      </c>
      <c r="BH72" s="336">
        <f ca="1" t="shared" si="151"/>
      </c>
      <c r="BI72" s="336">
        <f ca="1" t="shared" si="151"/>
      </c>
      <c r="BJ72" s="336">
        <f ca="1" t="shared" si="151"/>
      </c>
      <c r="BK72" s="336">
        <f ca="1" t="shared" si="151"/>
      </c>
      <c r="BL72" s="336">
        <f ca="1" t="shared" si="151"/>
      </c>
      <c r="BM72" s="336">
        <f ca="1" t="shared" si="151"/>
      </c>
      <c r="BN72" s="336">
        <f ca="1" t="shared" si="151"/>
      </c>
      <c r="BO72" s="336">
        <f ca="1" t="shared" si="151"/>
      </c>
    </row>
    <row r="73" spans="2:67" ht="13.5" customHeight="1">
      <c r="B73" s="5"/>
      <c r="C73" s="5"/>
      <c r="D73" s="5"/>
      <c r="E73" s="5"/>
      <c r="G73" s="41"/>
      <c r="H73" s="5"/>
      <c r="I73" s="5"/>
      <c r="J73" s="5"/>
      <c r="O73" s="97"/>
      <c r="P73" s="75"/>
      <c r="Q73" s="99"/>
      <c r="R73" s="246" t="s">
        <v>171</v>
      </c>
      <c r="S73" s="238">
        <f t="shared" si="39"/>
        <v>0</v>
      </c>
      <c r="T73" s="238">
        <f t="shared" si="40"/>
      </c>
      <c r="U73" s="238">
        <f t="shared" si="41"/>
      </c>
      <c r="V73" s="238">
        <f t="shared" si="42"/>
      </c>
      <c r="W73" s="46" t="s">
        <v>125</v>
      </c>
      <c r="X73" s="66">
        <v>4</v>
      </c>
      <c r="Y73" s="59" t="s">
        <v>126</v>
      </c>
      <c r="Z73" s="167"/>
      <c r="AD73" s="1">
        <v>73</v>
      </c>
      <c r="AE73" s="320">
        <f t="shared" si="153"/>
        <v>2000000</v>
      </c>
      <c r="AF73" s="336"/>
      <c r="AG73" s="38">
        <f t="shared" si="154"/>
        <v>0</v>
      </c>
      <c r="AH73" s="328">
        <f t="shared" si="155"/>
        <v>0</v>
      </c>
      <c r="AI73" s="320">
        <f t="shared" si="156"/>
        <v>0</v>
      </c>
      <c r="AJ73" s="294">
        <f t="shared" si="128"/>
      </c>
      <c r="AK73" s="293" t="b">
        <f t="shared" si="157"/>
        <v>0</v>
      </c>
      <c r="AL73" s="332">
        <f t="shared" si="158"/>
        <v>2000000</v>
      </c>
      <c r="AM73" s="322"/>
      <c r="AN73" s="108"/>
      <c r="AO73" s="37" t="b">
        <f t="shared" si="127"/>
        <v>1</v>
      </c>
      <c r="BA73" s="336">
        <f ca="1" t="shared" si="152"/>
      </c>
      <c r="BB73" s="336">
        <f ca="1" t="shared" si="151"/>
      </c>
      <c r="BC73" s="336">
        <f ca="1" t="shared" si="151"/>
      </c>
      <c r="BD73" s="336">
        <f ca="1" t="shared" si="151"/>
      </c>
      <c r="BE73" s="336">
        <f ca="1" t="shared" si="151"/>
      </c>
      <c r="BF73" s="336">
        <f ca="1" t="shared" si="151"/>
      </c>
      <c r="BG73" s="336">
        <f ca="1" t="shared" si="151"/>
      </c>
      <c r="BH73" s="336">
        <f ca="1" t="shared" si="151"/>
      </c>
      <c r="BI73" s="336">
        <f ca="1" t="shared" si="151"/>
      </c>
      <c r="BJ73" s="336">
        <f ca="1" t="shared" si="151"/>
      </c>
      <c r="BK73" s="336">
        <f ca="1" t="shared" si="151"/>
      </c>
      <c r="BL73" s="336">
        <f ca="1" t="shared" si="151"/>
      </c>
      <c r="BM73" s="336">
        <f ca="1" t="shared" si="151"/>
      </c>
      <c r="BN73" s="336">
        <f ca="1" t="shared" si="151"/>
      </c>
      <c r="BO73" s="336">
        <f ca="1" t="shared" si="151"/>
      </c>
    </row>
    <row r="74" spans="2:67" ht="13.5" customHeight="1">
      <c r="B74" s="60" t="s">
        <v>74</v>
      </c>
      <c r="C74" s="61"/>
      <c r="D74" s="61"/>
      <c r="E74" s="61"/>
      <c r="F74" s="61" t="s">
        <v>76</v>
      </c>
      <c r="G74" s="267"/>
      <c r="H74" s="60" t="s">
        <v>75</v>
      </c>
      <c r="I74" s="61"/>
      <c r="J74" s="61"/>
      <c r="K74" s="61"/>
      <c r="L74" s="61" t="s">
        <v>76</v>
      </c>
      <c r="O74" s="97"/>
      <c r="P74" s="75"/>
      <c r="Q74" s="99"/>
      <c r="R74" s="246" t="s">
        <v>171</v>
      </c>
      <c r="S74" s="238">
        <f t="shared" si="39"/>
        <v>0</v>
      </c>
      <c r="T74" s="238">
        <f aca="true" t="shared" si="159" ref="T74:T83">IF(OR(S74&gt;0,LEFT(Q74,1)="f"),X74,"")</f>
      </c>
      <c r="U74" s="238">
        <f aca="true" t="shared" si="160" ref="U74:U83">IF(R74="Y",S74,"")</f>
      </c>
      <c r="V74" s="238">
        <f aca="true" t="shared" si="161" ref="V74:V83">IF(AND(R74="Y",T74&gt;0),T74,"")</f>
      </c>
      <c r="W74" s="46" t="s">
        <v>121</v>
      </c>
      <c r="X74" s="66">
        <v>3</v>
      </c>
      <c r="Y74" s="59" t="s">
        <v>122</v>
      </c>
      <c r="Z74" s="425" t="s">
        <v>130</v>
      </c>
      <c r="AD74" s="1">
        <v>74</v>
      </c>
      <c r="AE74" s="320">
        <f t="shared" si="153"/>
        <v>2000000</v>
      </c>
      <c r="AF74" s="336"/>
      <c r="AG74" s="38">
        <f t="shared" si="154"/>
        <v>0</v>
      </c>
      <c r="AH74" s="328">
        <f t="shared" si="155"/>
        <v>0</v>
      </c>
      <c r="AI74" s="320">
        <f t="shared" si="156"/>
        <v>0</v>
      </c>
      <c r="AJ74" s="294">
        <f t="shared" si="128"/>
      </c>
      <c r="AK74" s="293" t="b">
        <f t="shared" si="157"/>
        <v>0</v>
      </c>
      <c r="AL74" s="332">
        <f t="shared" si="158"/>
        <v>2000000</v>
      </c>
      <c r="AM74" s="322"/>
      <c r="AN74" s="108"/>
      <c r="AO74" s="37" t="b">
        <f t="shared" si="127"/>
        <v>1</v>
      </c>
      <c r="BA74" s="336">
        <f ca="1" t="shared" si="152"/>
      </c>
      <c r="BB74" s="336">
        <f ca="1" t="shared" si="151"/>
      </c>
      <c r="BC74" s="336">
        <f ca="1" t="shared" si="151"/>
      </c>
      <c r="BD74" s="336">
        <f ca="1" t="shared" si="151"/>
      </c>
      <c r="BE74" s="336">
        <f ca="1" t="shared" si="151"/>
      </c>
      <c r="BF74" s="336">
        <f ca="1" t="shared" si="151"/>
      </c>
      <c r="BG74" s="336">
        <f ca="1" t="shared" si="151"/>
      </c>
      <c r="BH74" s="336">
        <f ca="1" t="shared" si="151"/>
      </c>
      <c r="BI74" s="336">
        <f ca="1" t="shared" si="151"/>
      </c>
      <c r="BJ74" s="336">
        <f ca="1" t="shared" si="151"/>
      </c>
      <c r="BK74" s="336">
        <f ca="1" t="shared" si="151"/>
      </c>
      <c r="BL74" s="336">
        <f ca="1" t="shared" si="151"/>
      </c>
      <c r="BM74" s="336">
        <f ca="1" t="shared" si="151"/>
      </c>
      <c r="BN74" s="336">
        <f ca="1" t="shared" si="151"/>
      </c>
      <c r="BO74" s="336">
        <f ca="1" t="shared" si="151"/>
      </c>
    </row>
    <row r="75" spans="15:67" ht="13.5" customHeight="1">
      <c r="O75" s="97"/>
      <c r="P75" s="75"/>
      <c r="Q75" s="99"/>
      <c r="R75" s="246" t="s">
        <v>171</v>
      </c>
      <c r="S75" s="238">
        <f t="shared" si="39"/>
        <v>0</v>
      </c>
      <c r="T75" s="238">
        <f t="shared" si="159"/>
      </c>
      <c r="U75" s="238">
        <f t="shared" si="160"/>
      </c>
      <c r="V75" s="238">
        <f t="shared" si="161"/>
      </c>
      <c r="W75" s="46" t="s">
        <v>128</v>
      </c>
      <c r="X75" s="66">
        <v>1</v>
      </c>
      <c r="Y75" s="59" t="s">
        <v>129</v>
      </c>
      <c r="Z75" s="425"/>
      <c r="AD75" s="1">
        <v>75</v>
      </c>
      <c r="AE75" s="320">
        <f t="shared" si="153"/>
        <v>2000000</v>
      </c>
      <c r="AF75" s="336"/>
      <c r="AG75" s="38">
        <f t="shared" si="154"/>
        <v>0</v>
      </c>
      <c r="AH75" s="328">
        <f t="shared" si="155"/>
        <v>0</v>
      </c>
      <c r="AI75" s="320">
        <f t="shared" si="156"/>
        <v>0</v>
      </c>
      <c r="AJ75" s="294">
        <f t="shared" si="128"/>
      </c>
      <c r="AK75" s="293" t="b">
        <f t="shared" si="157"/>
        <v>0</v>
      </c>
      <c r="AL75" s="332">
        <f t="shared" si="158"/>
        <v>2000000</v>
      </c>
      <c r="AM75" s="322"/>
      <c r="AN75" s="108"/>
      <c r="AO75" s="37" t="b">
        <f t="shared" si="127"/>
        <v>1</v>
      </c>
      <c r="BA75" s="336">
        <f ca="1" t="shared" si="152"/>
      </c>
      <c r="BB75" s="336">
        <f ca="1" t="shared" si="151"/>
      </c>
      <c r="BC75" s="336">
        <f ca="1" t="shared" si="151"/>
      </c>
      <c r="BD75" s="336">
        <f ca="1" t="shared" si="151"/>
      </c>
      <c r="BE75" s="336">
        <f ca="1" t="shared" si="151"/>
      </c>
      <c r="BF75" s="336">
        <f ca="1" t="shared" si="151"/>
      </c>
      <c r="BG75" s="336">
        <f ca="1" t="shared" si="151"/>
      </c>
      <c r="BH75" s="336">
        <f ca="1" t="shared" si="151"/>
      </c>
      <c r="BI75" s="336">
        <f ca="1" t="shared" si="151"/>
      </c>
      <c r="BJ75" s="336">
        <f ca="1" t="shared" si="151"/>
      </c>
      <c r="BK75" s="336">
        <f ca="1" t="shared" si="151"/>
      </c>
      <c r="BL75" s="336">
        <f ca="1" t="shared" si="151"/>
      </c>
      <c r="BM75" s="336">
        <f ca="1" t="shared" si="151"/>
      </c>
      <c r="BN75" s="336">
        <f ca="1" t="shared" si="151"/>
      </c>
      <c r="BO75" s="336">
        <f ca="1" t="shared" si="151"/>
      </c>
    </row>
    <row r="76" spans="2:67" ht="13.5" customHeight="1">
      <c r="B76" s="393" t="s">
        <v>189</v>
      </c>
      <c r="C76" s="393"/>
      <c r="D76" s="393"/>
      <c r="E76" s="393"/>
      <c r="F76" s="393"/>
      <c r="G76" s="393"/>
      <c r="H76" s="393"/>
      <c r="I76" s="393"/>
      <c r="J76" s="393"/>
      <c r="K76" s="393"/>
      <c r="L76" s="393"/>
      <c r="O76" s="97"/>
      <c r="P76" s="75"/>
      <c r="Q76" s="99"/>
      <c r="R76" s="246" t="s">
        <v>171</v>
      </c>
      <c r="S76" s="238">
        <f aca="true" t="shared" si="162" ref="S76:S83">IF(LEFT(Q76,1)="a",4,IF(LEFT(Q76,1)="b",3,IF(LEFT(Q76,1)="c",2,IF(LEFT(Q76,1)="d",1,0))))*X76</f>
        <v>0</v>
      </c>
      <c r="T76" s="238">
        <f t="shared" si="159"/>
      </c>
      <c r="U76" s="238">
        <f t="shared" si="160"/>
      </c>
      <c r="V76" s="238">
        <f t="shared" si="161"/>
      </c>
      <c r="W76" s="46" t="s">
        <v>114</v>
      </c>
      <c r="X76" s="66">
        <v>3</v>
      </c>
      <c r="Y76" s="59" t="s">
        <v>115</v>
      </c>
      <c r="Z76" s="425"/>
      <c r="AD76" s="1">
        <v>76</v>
      </c>
      <c r="AE76" s="320">
        <f t="shared" si="153"/>
        <v>2000000</v>
      </c>
      <c r="AF76" s="336"/>
      <c r="AG76" s="38">
        <f t="shared" si="154"/>
        <v>0</v>
      </c>
      <c r="AH76" s="328">
        <f t="shared" si="155"/>
        <v>0</v>
      </c>
      <c r="AI76" s="320">
        <f t="shared" si="156"/>
        <v>0</v>
      </c>
      <c r="AJ76" s="294">
        <f t="shared" si="128"/>
      </c>
      <c r="AK76" s="293" t="b">
        <f t="shared" si="157"/>
        <v>0</v>
      </c>
      <c r="AL76" s="332">
        <f t="shared" si="158"/>
        <v>2000000</v>
      </c>
      <c r="AM76" s="322"/>
      <c r="AN76" s="108"/>
      <c r="AO76" s="37" t="b">
        <f t="shared" si="127"/>
        <v>1</v>
      </c>
      <c r="BA76" s="336">
        <f ca="1" t="shared" si="152"/>
      </c>
      <c r="BB76" s="336">
        <f ca="1" t="shared" si="151"/>
      </c>
      <c r="BC76" s="336">
        <f ca="1" t="shared" si="151"/>
      </c>
      <c r="BD76" s="336">
        <f ca="1" t="shared" si="151"/>
      </c>
      <c r="BE76" s="336">
        <f ca="1" t="shared" si="151"/>
      </c>
      <c r="BF76" s="336">
        <f ca="1" t="shared" si="151"/>
      </c>
      <c r="BG76" s="336">
        <f ca="1" t="shared" si="151"/>
      </c>
      <c r="BH76" s="336">
        <f ca="1" t="shared" si="151"/>
      </c>
      <c r="BI76" s="336">
        <f ca="1" t="shared" si="151"/>
      </c>
      <c r="BJ76" s="336">
        <f ca="1" t="shared" si="151"/>
      </c>
      <c r="BK76" s="336">
        <f ca="1" t="shared" si="151"/>
      </c>
      <c r="BL76" s="336">
        <f ca="1" t="shared" si="151"/>
      </c>
      <c r="BM76" s="336">
        <f ca="1" t="shared" si="151"/>
      </c>
      <c r="BN76" s="336">
        <f ca="1" t="shared" si="151"/>
      </c>
      <c r="BO76" s="336">
        <f ca="1" t="shared" si="151"/>
      </c>
    </row>
    <row r="77" spans="2:67" ht="13.5" customHeight="1">
      <c r="B77" s="393"/>
      <c r="C77" s="393"/>
      <c r="D77" s="393"/>
      <c r="E77" s="393"/>
      <c r="F77" s="393"/>
      <c r="G77" s="393"/>
      <c r="H77" s="393"/>
      <c r="I77" s="393"/>
      <c r="J77" s="393"/>
      <c r="K77" s="393"/>
      <c r="L77" s="393"/>
      <c r="O77" s="97"/>
      <c r="P77" s="75"/>
      <c r="Q77" s="99"/>
      <c r="R77" s="246" t="s">
        <v>171</v>
      </c>
      <c r="S77" s="238">
        <f t="shared" si="162"/>
        <v>0</v>
      </c>
      <c r="T77" s="238">
        <f t="shared" si="159"/>
      </c>
      <c r="U77" s="238">
        <f t="shared" si="160"/>
      </c>
      <c r="V77" s="238">
        <f t="shared" si="161"/>
      </c>
      <c r="W77" s="46" t="s">
        <v>116</v>
      </c>
      <c r="X77" s="66">
        <v>3</v>
      </c>
      <c r="Y77" s="59" t="s">
        <v>117</v>
      </c>
      <c r="Z77" s="167"/>
      <c r="AD77" s="1">
        <v>77</v>
      </c>
      <c r="AE77" s="320">
        <f t="shared" si="153"/>
        <v>2000000</v>
      </c>
      <c r="AF77" s="336"/>
      <c r="AG77" s="38">
        <f t="shared" si="154"/>
        <v>0</v>
      </c>
      <c r="AH77" s="328">
        <f t="shared" si="155"/>
        <v>0</v>
      </c>
      <c r="AI77" s="320">
        <f t="shared" si="156"/>
        <v>0</v>
      </c>
      <c r="AJ77" s="294">
        <f t="shared" si="128"/>
      </c>
      <c r="AK77" s="293" t="b">
        <f t="shared" si="157"/>
        <v>0</v>
      </c>
      <c r="AL77" s="332">
        <f t="shared" si="158"/>
        <v>2000000</v>
      </c>
      <c r="AM77" s="322"/>
      <c r="AN77" s="108"/>
      <c r="AO77" s="37" t="b">
        <f t="shared" si="127"/>
        <v>1</v>
      </c>
      <c r="BA77" s="336">
        <f ca="1" t="shared" si="152"/>
      </c>
      <c r="BB77" s="336">
        <f ca="1" t="shared" si="151"/>
      </c>
      <c r="BC77" s="336">
        <f ca="1" t="shared" si="151"/>
      </c>
      <c r="BD77" s="336">
        <f ca="1" t="shared" si="151"/>
      </c>
      <c r="BE77" s="336">
        <f ca="1" t="shared" si="151"/>
      </c>
      <c r="BF77" s="336">
        <f ca="1" t="shared" si="151"/>
      </c>
      <c r="BG77" s="336">
        <f ca="1" t="shared" si="151"/>
      </c>
      <c r="BH77" s="336">
        <f ca="1" t="shared" si="151"/>
      </c>
      <c r="BI77" s="336">
        <f ca="1" t="shared" si="151"/>
      </c>
      <c r="BJ77" s="336">
        <f ca="1" t="shared" si="151"/>
      </c>
      <c r="BK77" s="336">
        <f ca="1" t="shared" si="151"/>
      </c>
      <c r="BL77" s="336">
        <f ca="1" t="shared" si="151"/>
      </c>
      <c r="BM77" s="336">
        <f ca="1" t="shared" si="151"/>
      </c>
      <c r="BN77" s="336">
        <f ca="1" t="shared" si="151"/>
      </c>
      <c r="BO77" s="336">
        <f ca="1" t="shared" si="151"/>
      </c>
    </row>
    <row r="78" spans="2:67" ht="13.5" customHeight="1">
      <c r="B78" s="393"/>
      <c r="C78" s="393"/>
      <c r="D78" s="393"/>
      <c r="E78" s="393"/>
      <c r="F78" s="393"/>
      <c r="G78" s="393"/>
      <c r="H78" s="393"/>
      <c r="I78" s="393"/>
      <c r="J78" s="393"/>
      <c r="K78" s="393"/>
      <c r="L78" s="393"/>
      <c r="O78" s="97"/>
      <c r="P78" s="75"/>
      <c r="Q78" s="99"/>
      <c r="R78" s="246" t="s">
        <v>171</v>
      </c>
      <c r="S78" s="238">
        <f t="shared" si="162"/>
        <v>0</v>
      </c>
      <c r="T78" s="238">
        <f t="shared" si="159"/>
      </c>
      <c r="U78" s="238">
        <f t="shared" si="160"/>
      </c>
      <c r="V78" s="238">
        <f t="shared" si="161"/>
      </c>
      <c r="W78" s="46" t="s">
        <v>118</v>
      </c>
      <c r="X78" s="66">
        <v>3</v>
      </c>
      <c r="Y78" s="59" t="s">
        <v>119</v>
      </c>
      <c r="Z78" s="167"/>
      <c r="AD78" s="1">
        <v>78</v>
      </c>
      <c r="AE78" s="320">
        <f t="shared" si="153"/>
        <v>2000000</v>
      </c>
      <c r="AF78" s="336"/>
      <c r="AG78" s="38">
        <f t="shared" si="154"/>
        <v>0</v>
      </c>
      <c r="AH78" s="328">
        <f t="shared" si="155"/>
        <v>0</v>
      </c>
      <c r="AI78" s="320">
        <f t="shared" si="156"/>
        <v>0</v>
      </c>
      <c r="AJ78" s="294">
        <f t="shared" si="128"/>
      </c>
      <c r="AK78" s="293" t="b">
        <f t="shared" si="157"/>
        <v>0</v>
      </c>
      <c r="AL78" s="332">
        <f t="shared" si="158"/>
        <v>2000000</v>
      </c>
      <c r="AM78" s="322"/>
      <c r="AN78" s="108"/>
      <c r="AO78" s="37" t="b">
        <f t="shared" si="127"/>
        <v>1</v>
      </c>
      <c r="BA78" s="336">
        <f ca="1" t="shared" si="152"/>
      </c>
      <c r="BB78" s="336">
        <f ca="1" t="shared" si="151"/>
      </c>
      <c r="BC78" s="336">
        <f ca="1" t="shared" si="151"/>
      </c>
      <c r="BD78" s="336">
        <f ca="1" t="shared" si="151"/>
      </c>
      <c r="BE78" s="336">
        <f ca="1" t="shared" si="151"/>
      </c>
      <c r="BF78" s="336">
        <f ca="1" t="shared" si="151"/>
      </c>
      <c r="BG78" s="336">
        <f ca="1" t="shared" si="151"/>
      </c>
      <c r="BH78" s="336">
        <f ca="1" t="shared" si="151"/>
      </c>
      <c r="BI78" s="336">
        <f ca="1" t="shared" si="151"/>
      </c>
      <c r="BJ78" s="336">
        <f ca="1" t="shared" si="151"/>
      </c>
      <c r="BK78" s="336">
        <f ca="1" t="shared" si="151"/>
      </c>
      <c r="BL78" s="336">
        <f ca="1" t="shared" si="151"/>
      </c>
      <c r="BM78" s="336">
        <f ca="1" t="shared" si="151"/>
      </c>
      <c r="BN78" s="336">
        <f ca="1" t="shared" si="151"/>
      </c>
      <c r="BO78" s="336">
        <f ca="1" t="shared" si="151"/>
      </c>
    </row>
    <row r="79" spans="2:67" ht="12.75" customHeight="1">
      <c r="B79" s="393"/>
      <c r="C79" s="393"/>
      <c r="D79" s="393"/>
      <c r="E79" s="393"/>
      <c r="F79" s="393"/>
      <c r="G79" s="393"/>
      <c r="H79" s="393"/>
      <c r="I79" s="393"/>
      <c r="J79" s="393"/>
      <c r="K79" s="393"/>
      <c r="L79" s="393"/>
      <c r="O79" s="97"/>
      <c r="P79" s="75"/>
      <c r="Q79" s="99"/>
      <c r="R79" s="99"/>
      <c r="S79" s="238"/>
      <c r="T79" s="238"/>
      <c r="U79" s="238"/>
      <c r="V79" s="238"/>
      <c r="W79" s="76"/>
      <c r="X79" s="108"/>
      <c r="Y79" s="109"/>
      <c r="Z79" s="167"/>
      <c r="AD79" s="1">
        <v>79</v>
      </c>
      <c r="AE79" s="320">
        <f t="shared" si="153"/>
        <v>2000000</v>
      </c>
      <c r="AF79" s="336"/>
      <c r="AG79" s="38">
        <f t="shared" si="154"/>
        <v>0</v>
      </c>
      <c r="AH79" s="328">
        <f t="shared" si="155"/>
        <v>0</v>
      </c>
      <c r="AI79" s="320">
        <f t="shared" si="156"/>
        <v>0</v>
      </c>
      <c r="AJ79" s="294">
        <f t="shared" si="128"/>
      </c>
      <c r="AK79" s="293" t="b">
        <f t="shared" si="157"/>
        <v>0</v>
      </c>
      <c r="AL79" s="332">
        <f t="shared" si="158"/>
        <v>2000000</v>
      </c>
      <c r="AN79" s="108"/>
      <c r="AO79" s="37" t="b">
        <f t="shared" si="127"/>
        <v>1</v>
      </c>
      <c r="BA79" s="336">
        <f ca="1" t="shared" si="152"/>
      </c>
      <c r="BB79" s="336">
        <f ca="1" t="shared" si="151"/>
      </c>
      <c r="BC79" s="336">
        <f ca="1" t="shared" si="151"/>
      </c>
      <c r="BD79" s="336">
        <f ca="1" t="shared" si="151"/>
      </c>
      <c r="BE79" s="336">
        <f ca="1" t="shared" si="151"/>
      </c>
      <c r="BF79" s="336">
        <f ca="1" t="shared" si="151"/>
      </c>
      <c r="BG79" s="336">
        <f ca="1" t="shared" si="151"/>
      </c>
      <c r="BH79" s="336">
        <f ca="1" t="shared" si="151"/>
      </c>
      <c r="BI79" s="336">
        <f ca="1" t="shared" si="151"/>
      </c>
      <c r="BJ79" s="336">
        <f ca="1" t="shared" si="151"/>
      </c>
      <c r="BK79" s="336">
        <f ca="1" t="shared" si="151"/>
      </c>
      <c r="BL79" s="336">
        <f ca="1" t="shared" si="151"/>
      </c>
      <c r="BM79" s="336">
        <f ca="1" t="shared" si="151"/>
      </c>
      <c r="BN79" s="336">
        <f ca="1" t="shared" si="151"/>
      </c>
      <c r="BO79" s="336">
        <f ca="1" t="shared" si="151"/>
      </c>
    </row>
    <row r="80" spans="2:67" ht="13.5" customHeight="1">
      <c r="B80" s="393"/>
      <c r="C80" s="393"/>
      <c r="D80" s="393"/>
      <c r="E80" s="393"/>
      <c r="F80" s="393"/>
      <c r="G80" s="393"/>
      <c r="H80" s="393"/>
      <c r="I80" s="393"/>
      <c r="J80" s="393"/>
      <c r="K80" s="393"/>
      <c r="L80" s="393"/>
      <c r="O80" s="97"/>
      <c r="P80" s="75"/>
      <c r="Q80" s="99"/>
      <c r="R80" s="99"/>
      <c r="S80" s="238"/>
      <c r="T80" s="238"/>
      <c r="U80" s="238"/>
      <c r="V80" s="238"/>
      <c r="W80" s="76"/>
      <c r="X80" s="108"/>
      <c r="Y80" s="109"/>
      <c r="Z80" s="167"/>
      <c r="AD80" s="1">
        <v>80</v>
      </c>
      <c r="AE80" s="320">
        <f t="shared" si="153"/>
        <v>2000000</v>
      </c>
      <c r="AF80" s="336"/>
      <c r="AG80" s="38">
        <f t="shared" si="154"/>
        <v>0</v>
      </c>
      <c r="AH80" s="328">
        <f t="shared" si="155"/>
        <v>0</v>
      </c>
      <c r="AI80" s="320">
        <f t="shared" si="156"/>
        <v>0</v>
      </c>
      <c r="AJ80" s="294">
        <f t="shared" si="128"/>
      </c>
      <c r="AK80" s="293" t="b">
        <f t="shared" si="157"/>
        <v>0</v>
      </c>
      <c r="AL80" s="332">
        <f t="shared" si="158"/>
        <v>2000000</v>
      </c>
      <c r="AN80" s="108"/>
      <c r="AO80" s="37" t="b">
        <f t="shared" si="127"/>
        <v>1</v>
      </c>
      <c r="BA80" s="336">
        <f ca="1" t="shared" si="152"/>
      </c>
      <c r="BB80" s="336">
        <f ca="1" t="shared" si="151"/>
      </c>
      <c r="BC80" s="336">
        <f ca="1" t="shared" si="151"/>
      </c>
      <c r="BD80" s="336">
        <f ca="1" t="shared" si="151"/>
      </c>
      <c r="BE80" s="336">
        <f ca="1" t="shared" si="151"/>
      </c>
      <c r="BF80" s="336">
        <f ca="1" t="shared" si="151"/>
      </c>
      <c r="BG80" s="336">
        <f ca="1" t="shared" si="151"/>
      </c>
      <c r="BH80" s="336">
        <f ca="1" t="shared" si="151"/>
      </c>
      <c r="BI80" s="336">
        <f ca="1" t="shared" si="151"/>
      </c>
      <c r="BJ80" s="336">
        <f ca="1" t="shared" si="151"/>
      </c>
      <c r="BK80" s="336">
        <f ca="1" t="shared" si="151"/>
      </c>
      <c r="BL80" s="336">
        <f ca="1" t="shared" si="151"/>
      </c>
      <c r="BM80" s="336">
        <f ca="1" t="shared" si="151"/>
      </c>
      <c r="BN80" s="336">
        <f ca="1" t="shared" si="151"/>
      </c>
      <c r="BO80" s="336">
        <f ca="1" t="shared" si="151"/>
      </c>
    </row>
    <row r="81" spans="2:67" ht="13.5" customHeight="1" thickBot="1">
      <c r="B81" s="393"/>
      <c r="C81" s="393"/>
      <c r="D81" s="393"/>
      <c r="E81" s="393"/>
      <c r="F81" s="393"/>
      <c r="G81" s="393"/>
      <c r="H81" s="393"/>
      <c r="I81" s="393"/>
      <c r="J81" s="393"/>
      <c r="K81" s="393"/>
      <c r="L81" s="393"/>
      <c r="O81" s="96"/>
      <c r="P81" s="81"/>
      <c r="Q81" s="107"/>
      <c r="R81" s="107"/>
      <c r="S81" s="237"/>
      <c r="T81" s="237"/>
      <c r="U81" s="237"/>
      <c r="V81" s="237"/>
      <c r="W81" s="116"/>
      <c r="X81" s="110"/>
      <c r="Y81" s="111"/>
      <c r="Z81" s="168"/>
      <c r="BA81" s="341"/>
      <c r="BB81" s="341"/>
      <c r="BC81" s="341"/>
      <c r="BD81" s="341"/>
      <c r="BE81" s="341"/>
      <c r="BF81" s="341"/>
      <c r="BG81" s="341"/>
      <c r="BH81" s="341"/>
      <c r="BI81" s="341"/>
      <c r="BJ81" s="341"/>
      <c r="BK81" s="341"/>
      <c r="BL81" s="341"/>
      <c r="BM81" s="341"/>
      <c r="BN81" s="341"/>
      <c r="BO81" s="341"/>
    </row>
    <row r="82" spans="2:67" ht="13.5" customHeight="1" thickBot="1">
      <c r="B82" s="393"/>
      <c r="C82" s="393"/>
      <c r="D82" s="393"/>
      <c r="E82" s="393"/>
      <c r="F82" s="393"/>
      <c r="G82" s="393"/>
      <c r="H82" s="393"/>
      <c r="I82" s="393"/>
      <c r="J82" s="393"/>
      <c r="K82" s="393"/>
      <c r="L82" s="393"/>
      <c r="O82" s="143" t="s">
        <v>195</v>
      </c>
      <c r="P82" s="150"/>
      <c r="Q82" s="150"/>
      <c r="R82" s="235"/>
      <c r="S82" s="308"/>
      <c r="T82" s="308"/>
      <c r="U82" s="308"/>
      <c r="V82" s="308"/>
      <c r="W82" s="144"/>
      <c r="X82" s="144"/>
      <c r="Y82" s="144"/>
      <c r="Z82" s="151"/>
      <c r="BA82" s="36">
        <f>_xlfn.IFERROR(SMALL(BA$2:BA$80,1),0)</f>
        <v>0</v>
      </c>
      <c r="BB82" s="36">
        <f>_xlfn.IFERROR(SMALL(BB$2:BB$80,1),0)</f>
        <v>0</v>
      </c>
      <c r="BC82" s="36">
        <f>_xlfn.IFERROR(SMALL(BC$2:BC$80,1),0)</f>
        <v>0</v>
      </c>
      <c r="BD82" s="36">
        <f>_xlfn.IFERROR(SMALL(BD$2:BD$80,1),0)</f>
        <v>0</v>
      </c>
      <c r="BE82" s="36">
        <f>_xlfn.IFERROR(SMALL(BE$2:BE$80,1),0)</f>
        <v>0</v>
      </c>
      <c r="BF82" s="36">
        <f>_xlfn.IFERROR(SMALL(BF$2:BF$80,1),0)</f>
        <v>0</v>
      </c>
      <c r="BG82" s="36">
        <f>_xlfn.IFERROR(SMALL(BG$2:BG$80,1),0)</f>
        <v>0</v>
      </c>
      <c r="BH82" s="36">
        <f>_xlfn.IFERROR(SMALL(BH$2:BH$80,1),0)</f>
        <v>0</v>
      </c>
      <c r="BI82" s="36">
        <f>_xlfn.IFERROR(SMALL(BI$2:BI$80,1),0)</f>
        <v>0</v>
      </c>
      <c r="BJ82" s="36">
        <f>_xlfn.IFERROR(SMALL(BJ$2:BJ$80,1),0)</f>
        <v>0</v>
      </c>
      <c r="BK82" s="36">
        <f>_xlfn.IFERROR(SMALL(BK$2:BK$80,1),0)</f>
        <v>0</v>
      </c>
      <c r="BL82" s="36">
        <f>_xlfn.IFERROR(SMALL(BL$2:BL$80,1),0)</f>
        <v>0</v>
      </c>
      <c r="BM82" s="36">
        <f>_xlfn.IFERROR(SMALL(BM$2:BM$80,1),0)</f>
        <v>0</v>
      </c>
      <c r="BN82" s="36">
        <f>_xlfn.IFERROR(SMALL(BN$2:BN$80,1),0)</f>
        <v>0</v>
      </c>
      <c r="BO82" s="36">
        <f>_xlfn.IFERROR(SMALL(BO$2:BO$80,1),0)</f>
        <v>0</v>
      </c>
    </row>
    <row r="83" spans="15:67" ht="13.5" customHeight="1">
      <c r="O83" s="95"/>
      <c r="P83" s="86"/>
      <c r="Q83" s="106"/>
      <c r="R83" s="297" t="s">
        <v>171</v>
      </c>
      <c r="S83" s="236">
        <f t="shared" si="162"/>
        <v>0</v>
      </c>
      <c r="T83" s="236">
        <f t="shared" si="159"/>
      </c>
      <c r="U83" s="236">
        <f t="shared" si="160"/>
      </c>
      <c r="V83" s="236">
        <f t="shared" si="161"/>
      </c>
      <c r="W83" s="262" t="s">
        <v>192</v>
      </c>
      <c r="X83" s="263">
        <v>3</v>
      </c>
      <c r="Y83" s="264" t="s">
        <v>193</v>
      </c>
      <c r="Z83" s="169"/>
      <c r="BA83" s="36">
        <f>_xlfn.IFERROR(SMALL(BA$2:BA$80,2),0)</f>
        <v>0</v>
      </c>
      <c r="BB83" s="36">
        <f>_xlfn.IFERROR(SMALL(BB$2:BB$80,2),0)</f>
        <v>0</v>
      </c>
      <c r="BC83" s="36">
        <f>_xlfn.IFERROR(SMALL(BC$2:BC$80,2),0)</f>
        <v>0</v>
      </c>
      <c r="BD83" s="36">
        <f>_xlfn.IFERROR(SMALL(BD$2:BD$80,2),0)</f>
        <v>0</v>
      </c>
      <c r="BE83" s="36">
        <f>_xlfn.IFERROR(SMALL(BE$2:BE$80,2),0)</f>
        <v>0</v>
      </c>
      <c r="BF83" s="36">
        <f>_xlfn.IFERROR(SMALL(BF$2:BF$80,2),0)</f>
        <v>0</v>
      </c>
      <c r="BG83" s="36">
        <f>_xlfn.IFERROR(SMALL(BG$2:BG$80,2),0)</f>
        <v>0</v>
      </c>
      <c r="BH83" s="36">
        <f>_xlfn.IFERROR(SMALL(BH$2:BH$80,2),0)</f>
        <v>0</v>
      </c>
      <c r="BI83" s="36">
        <f>_xlfn.IFERROR(SMALL(BI$2:BI$80,2),0)</f>
        <v>0</v>
      </c>
      <c r="BJ83" s="36">
        <f>_xlfn.IFERROR(SMALL(BJ$2:BJ$80,2),0)</f>
        <v>0</v>
      </c>
      <c r="BK83" s="36">
        <f>_xlfn.IFERROR(SMALL(BK$2:BK$80,2),0)</f>
        <v>0</v>
      </c>
      <c r="BL83" s="36">
        <f>_xlfn.IFERROR(SMALL(BL$2:BL$80,2),0)</f>
        <v>0</v>
      </c>
      <c r="BM83" s="36">
        <f>_xlfn.IFERROR(SMALL(BM$2:BM$80,2),0)</f>
        <v>0</v>
      </c>
      <c r="BN83" s="36">
        <f>_xlfn.IFERROR(SMALL(BN$2:BN$80,2),0)</f>
        <v>0</v>
      </c>
      <c r="BO83" s="36">
        <f>_xlfn.IFERROR(SMALL(BO$2:BO$80,2),0)</f>
        <v>0</v>
      </c>
    </row>
    <row r="84" spans="15:67" ht="13.5" customHeight="1">
      <c r="O84" s="97"/>
      <c r="P84" s="75"/>
      <c r="Q84" s="99"/>
      <c r="R84" s="99"/>
      <c r="S84" s="238"/>
      <c r="T84" s="238"/>
      <c r="U84" s="238"/>
      <c r="V84" s="238"/>
      <c r="W84" s="118"/>
      <c r="X84" s="77"/>
      <c r="Y84" s="316"/>
      <c r="Z84" s="170"/>
      <c r="BA84" s="36">
        <f>_xlfn.IFERROR(SMALL(BA$2:BA$80,3),0)</f>
        <v>0</v>
      </c>
      <c r="BB84" s="36">
        <f>_xlfn.IFERROR(SMALL(BB$2:BB$80,3),0)</f>
        <v>0</v>
      </c>
      <c r="BC84" s="36">
        <f>_xlfn.IFERROR(SMALL(BC$2:BC$80,3),0)</f>
        <v>0</v>
      </c>
      <c r="BD84" s="36">
        <f>_xlfn.IFERROR(SMALL(BD$2:BD$80,3),0)</f>
        <v>0</v>
      </c>
      <c r="BE84" s="36">
        <f>_xlfn.IFERROR(SMALL(BE$2:BE$80,3),0)</f>
        <v>0</v>
      </c>
      <c r="BF84" s="36">
        <f>_xlfn.IFERROR(SMALL(BF$2:BF$80,3),0)</f>
        <v>0</v>
      </c>
      <c r="BG84" s="36">
        <f>_xlfn.IFERROR(SMALL(BG$2:BG$80,3),0)</f>
        <v>0</v>
      </c>
      <c r="BH84" s="36">
        <f>_xlfn.IFERROR(SMALL(BH$2:BH$80,3),0)</f>
        <v>0</v>
      </c>
      <c r="BI84" s="36">
        <f>_xlfn.IFERROR(SMALL(BI$2:BI$80,3),0)</f>
        <v>0</v>
      </c>
      <c r="BJ84" s="36">
        <f>_xlfn.IFERROR(SMALL(BJ$2:BJ$80,3),0)</f>
        <v>0</v>
      </c>
      <c r="BK84" s="36">
        <f>_xlfn.IFERROR(SMALL(BK$2:BK$80,3),0)</f>
        <v>0</v>
      </c>
      <c r="BL84" s="36">
        <f>_xlfn.IFERROR(SMALL(BL$2:BL$80,3),0)</f>
        <v>0</v>
      </c>
      <c r="BM84" s="36">
        <f>_xlfn.IFERROR(SMALL(BM$2:BM$80,3),0)</f>
        <v>0</v>
      </c>
      <c r="BN84" s="36">
        <f>_xlfn.IFERROR(SMALL(BN$2:BN$80,3),0)</f>
        <v>0</v>
      </c>
      <c r="BO84" s="36">
        <f>_xlfn.IFERROR(SMALL(BO$2:BO$80,3),0)</f>
        <v>0</v>
      </c>
    </row>
    <row r="85" spans="15:67" ht="13.5" customHeight="1">
      <c r="O85" s="97"/>
      <c r="P85" s="75"/>
      <c r="Q85" s="99"/>
      <c r="R85" s="99"/>
      <c r="S85" s="238"/>
      <c r="T85" s="238"/>
      <c r="U85" s="238"/>
      <c r="V85" s="238"/>
      <c r="W85" s="118"/>
      <c r="X85" s="77"/>
      <c r="Y85" s="316"/>
      <c r="Z85" s="174" t="s">
        <v>147</v>
      </c>
      <c r="BA85" s="36">
        <f>_xlfn.IFERROR(SMALL(BA$2:BA$80,4),0)</f>
        <v>0</v>
      </c>
      <c r="BB85" s="36">
        <f>_xlfn.IFERROR(SMALL(BB$2:BB$80,4),0)</f>
        <v>0</v>
      </c>
      <c r="BC85" s="36">
        <f>_xlfn.IFERROR(SMALL(BC$2:BC$80,4),0)</f>
        <v>0</v>
      </c>
      <c r="BD85" s="36">
        <f>_xlfn.IFERROR(SMALL(BD$2:BD$80,4),0)</f>
        <v>0</v>
      </c>
      <c r="BE85" s="36">
        <f>_xlfn.IFERROR(SMALL(BE$2:BE$80,4),0)</f>
        <v>0</v>
      </c>
      <c r="BF85" s="36">
        <f>_xlfn.IFERROR(SMALL(BF$2:BF$80,4),0)</f>
        <v>0</v>
      </c>
      <c r="BG85" s="36">
        <f>_xlfn.IFERROR(SMALL(BG$2:BG$80,4),0)</f>
        <v>0</v>
      </c>
      <c r="BH85" s="36">
        <f>_xlfn.IFERROR(SMALL(BH$2:BH$80,4),0)</f>
        <v>0</v>
      </c>
      <c r="BI85" s="36">
        <f>_xlfn.IFERROR(SMALL(BI$2:BI$80,4),0)</f>
        <v>0</v>
      </c>
      <c r="BJ85" s="36">
        <f>_xlfn.IFERROR(SMALL(BJ$2:BJ$80,4),0)</f>
        <v>0</v>
      </c>
      <c r="BK85" s="36">
        <f>_xlfn.IFERROR(SMALL(BK$2:BK$80,4),0)</f>
        <v>0</v>
      </c>
      <c r="BL85" s="36">
        <f>_xlfn.IFERROR(SMALL(BL$2:BL$80,4),0)</f>
        <v>0</v>
      </c>
      <c r="BM85" s="36">
        <f>_xlfn.IFERROR(SMALL(BM$2:BM$80,4),0)</f>
        <v>0</v>
      </c>
      <c r="BN85" s="36">
        <f>_xlfn.IFERROR(SMALL(BN$2:BN$80,4),0)</f>
        <v>0</v>
      </c>
      <c r="BO85" s="36">
        <f>_xlfn.IFERROR(SMALL(BO$2:BO$80,4),0)</f>
        <v>0</v>
      </c>
    </row>
    <row r="86" spans="15:67" ht="13.5" customHeight="1">
      <c r="O86" s="97"/>
      <c r="P86" s="75"/>
      <c r="Q86" s="99"/>
      <c r="R86" s="99"/>
      <c r="S86" s="238"/>
      <c r="T86" s="238"/>
      <c r="U86" s="238"/>
      <c r="V86" s="238"/>
      <c r="W86" s="118"/>
      <c r="X86" s="77"/>
      <c r="Y86" s="316"/>
      <c r="Z86" s="172" t="s">
        <v>148</v>
      </c>
      <c r="BA86" s="36">
        <f>_xlfn.IFERROR(SMALL(BA$2:BA$80,5),0)</f>
        <v>0</v>
      </c>
      <c r="BB86" s="36">
        <f>_xlfn.IFERROR(SMALL(BB$2:BB$80,5),0)</f>
        <v>0</v>
      </c>
      <c r="BC86" s="36">
        <f>_xlfn.IFERROR(SMALL(BC$2:BC$80,5),0)</f>
        <v>0</v>
      </c>
      <c r="BD86" s="36">
        <f>_xlfn.IFERROR(SMALL(BD$2:BD$80,5),0)</f>
        <v>0</v>
      </c>
      <c r="BE86" s="36">
        <f>_xlfn.IFERROR(SMALL(BE$2:BE$80,5),0)</f>
        <v>0</v>
      </c>
      <c r="BF86" s="36">
        <f>_xlfn.IFERROR(SMALL(BF$2:BF$80,5),0)</f>
        <v>0</v>
      </c>
      <c r="BG86" s="36">
        <f>_xlfn.IFERROR(SMALL(BG$2:BG$80,5),0)</f>
        <v>0</v>
      </c>
      <c r="BH86" s="36">
        <f>_xlfn.IFERROR(SMALL(BH$2:BH$80,5),0)</f>
        <v>0</v>
      </c>
      <c r="BI86" s="36">
        <f>_xlfn.IFERROR(SMALL(BI$2:BI$80,5),0)</f>
        <v>0</v>
      </c>
      <c r="BJ86" s="36">
        <f>_xlfn.IFERROR(SMALL(BJ$2:BJ$80,5),0)</f>
        <v>0</v>
      </c>
      <c r="BK86" s="36">
        <f>_xlfn.IFERROR(SMALL(BK$2:BK$80,5),0)</f>
        <v>0</v>
      </c>
      <c r="BL86" s="36">
        <f>_xlfn.IFERROR(SMALL(BL$2:BL$80,5),0)</f>
        <v>0</v>
      </c>
      <c r="BM86" s="36">
        <f>_xlfn.IFERROR(SMALL(BM$2:BM$80,5),0)</f>
        <v>0</v>
      </c>
      <c r="BN86" s="36">
        <f>_xlfn.IFERROR(SMALL(BN$2:BN$80,5),0)</f>
        <v>0</v>
      </c>
      <c r="BO86" s="36">
        <f>_xlfn.IFERROR(SMALL(BO$2:BO$80,5),0)</f>
        <v>0</v>
      </c>
    </row>
    <row r="87" spans="15:67" ht="13.5" customHeight="1">
      <c r="O87" s="97"/>
      <c r="P87" s="75"/>
      <c r="Q87" s="99"/>
      <c r="R87" s="99"/>
      <c r="S87" s="238"/>
      <c r="T87" s="238"/>
      <c r="U87" s="238"/>
      <c r="V87" s="238"/>
      <c r="W87" s="118"/>
      <c r="X87" s="77"/>
      <c r="Y87" s="316"/>
      <c r="Z87" s="172" t="s">
        <v>149</v>
      </c>
      <c r="BA87" s="36">
        <f>_xlfn.IFERROR(SMALL(BA$2:BA$80,6),0)</f>
        <v>0</v>
      </c>
      <c r="BB87" s="36">
        <f>_xlfn.IFERROR(SMALL(BB$2:BB$80,6),0)</f>
        <v>0</v>
      </c>
      <c r="BC87" s="36">
        <f>_xlfn.IFERROR(SMALL(BC$2:BC$80,6),0)</f>
        <v>0</v>
      </c>
      <c r="BD87" s="36">
        <f>_xlfn.IFERROR(SMALL(BD$2:BD$80,6),0)</f>
        <v>0</v>
      </c>
      <c r="BE87" s="36">
        <f>_xlfn.IFERROR(SMALL(BE$2:BE$80,6),0)</f>
        <v>0</v>
      </c>
      <c r="BF87" s="36">
        <f>_xlfn.IFERROR(SMALL(BF$2:BF$80,6),0)</f>
        <v>0</v>
      </c>
      <c r="BG87" s="36">
        <f>_xlfn.IFERROR(SMALL(BG$2:BG$80,6),0)</f>
        <v>0</v>
      </c>
      <c r="BH87" s="36">
        <f>_xlfn.IFERROR(SMALL(BH$2:BH$80,6),0)</f>
        <v>0</v>
      </c>
      <c r="BI87" s="36">
        <f>_xlfn.IFERROR(SMALL(BI$2:BI$80,6),0)</f>
        <v>0</v>
      </c>
      <c r="BJ87" s="36">
        <f>_xlfn.IFERROR(SMALL(BJ$2:BJ$80,6),0)</f>
        <v>0</v>
      </c>
      <c r="BK87" s="36">
        <f>_xlfn.IFERROR(SMALL(BK$2:BK$80,6),0)</f>
        <v>0</v>
      </c>
      <c r="BL87" s="36">
        <f>_xlfn.IFERROR(SMALL(BL$2:BL$80,6),0)</f>
        <v>0</v>
      </c>
      <c r="BM87" s="36">
        <f>_xlfn.IFERROR(SMALL(BM$2:BM$80,6),0)</f>
        <v>0</v>
      </c>
      <c r="BN87" s="36">
        <f>_xlfn.IFERROR(SMALL(BN$2:BN$80,6),0)</f>
        <v>0</v>
      </c>
      <c r="BO87" s="36">
        <f>_xlfn.IFERROR(SMALL(BO$2:BO$80,6),0)</f>
        <v>0</v>
      </c>
    </row>
    <row r="88" spans="14:67" ht="13.5" customHeight="1">
      <c r="N88" s="385" t="s">
        <v>194</v>
      </c>
      <c r="O88" s="97"/>
      <c r="P88" s="70"/>
      <c r="Q88" s="97"/>
      <c r="R88" s="97"/>
      <c r="S88" s="238"/>
      <c r="T88" s="238"/>
      <c r="U88" s="238"/>
      <c r="V88" s="238"/>
      <c r="W88" s="118"/>
      <c r="X88" s="77"/>
      <c r="Y88" s="316"/>
      <c r="Z88" s="266" t="s">
        <v>150</v>
      </c>
      <c r="BA88" s="36">
        <f>_xlfn.IFERROR(SMALL(BA$2:BA$80,7),0)</f>
        <v>0</v>
      </c>
      <c r="BB88" s="36">
        <f>_xlfn.IFERROR(SMALL(BB$2:BB$80,7),0)</f>
        <v>0</v>
      </c>
      <c r="BC88" s="36">
        <f>_xlfn.IFERROR(SMALL(BC$2:BC$80,7),0)</f>
        <v>0</v>
      </c>
      <c r="BD88" s="36">
        <f>_xlfn.IFERROR(SMALL(BD$2:BD$80,7),0)</f>
        <v>0</v>
      </c>
      <c r="BE88" s="36">
        <f>_xlfn.IFERROR(SMALL(BE$2:BE$80,7),0)</f>
        <v>0</v>
      </c>
      <c r="BF88" s="36">
        <f>_xlfn.IFERROR(SMALL(BF$2:BF$80,7),0)</f>
        <v>0</v>
      </c>
      <c r="BG88" s="36">
        <f>_xlfn.IFERROR(SMALL(BG$2:BG$80,7),0)</f>
        <v>0</v>
      </c>
      <c r="BH88" s="36">
        <f>_xlfn.IFERROR(SMALL(BH$2:BH$80,7),0)</f>
        <v>0</v>
      </c>
      <c r="BI88" s="36">
        <f>_xlfn.IFERROR(SMALL(BI$2:BI$80,7),0)</f>
        <v>0</v>
      </c>
      <c r="BJ88" s="36">
        <f>_xlfn.IFERROR(SMALL(BJ$2:BJ$80,7),0)</f>
        <v>0</v>
      </c>
      <c r="BK88" s="36">
        <f>_xlfn.IFERROR(SMALL(BK$2:BK$80,7),0)</f>
        <v>0</v>
      </c>
      <c r="BL88" s="36">
        <f>_xlfn.IFERROR(SMALL(BL$2:BL$80,7),0)</f>
        <v>0</v>
      </c>
      <c r="BM88" s="36">
        <f>_xlfn.IFERROR(SMALL(BM$2:BM$80,7),0)</f>
        <v>0</v>
      </c>
      <c r="BN88" s="36">
        <f>_xlfn.IFERROR(SMALL(BN$2:BN$80,7),0)</f>
        <v>0</v>
      </c>
      <c r="BO88" s="36">
        <f>_xlfn.IFERROR(SMALL(BO$2:BO$80,7),0)</f>
        <v>0</v>
      </c>
    </row>
    <row r="89" spans="14:67" ht="13.5" customHeight="1" thickBot="1">
      <c r="N89" s="386"/>
      <c r="O89" s="97"/>
      <c r="P89" s="70"/>
      <c r="Q89" s="97"/>
      <c r="R89" s="97"/>
      <c r="S89" s="238"/>
      <c r="T89" s="238"/>
      <c r="U89" s="238"/>
      <c r="V89" s="238"/>
      <c r="W89" s="118"/>
      <c r="X89" s="77"/>
      <c r="Y89" s="316"/>
      <c r="Z89" s="172"/>
      <c r="BA89" s="36">
        <f>_xlfn.IFERROR(SMALL(BA$2:BA$80,8),0)</f>
        <v>0</v>
      </c>
      <c r="BB89" s="36">
        <f>_xlfn.IFERROR(SMALL(BB$2:BB$80,8),0)</f>
        <v>0</v>
      </c>
      <c r="BC89" s="36">
        <f>_xlfn.IFERROR(SMALL(BC$2:BC$80,8),0)</f>
        <v>0</v>
      </c>
      <c r="BD89" s="36">
        <f>_xlfn.IFERROR(SMALL(BD$2:BD$80,8),0)</f>
        <v>0</v>
      </c>
      <c r="BE89" s="36">
        <f>_xlfn.IFERROR(SMALL(BE$2:BE$80,8),0)</f>
        <v>0</v>
      </c>
      <c r="BF89" s="36">
        <f>_xlfn.IFERROR(SMALL(BF$2:BF$80,8),0)</f>
        <v>0</v>
      </c>
      <c r="BG89" s="36">
        <f>_xlfn.IFERROR(SMALL(BG$2:BG$80,8),0)</f>
        <v>0</v>
      </c>
      <c r="BH89" s="36">
        <f>_xlfn.IFERROR(SMALL(BH$2:BH$80,8),0)</f>
        <v>0</v>
      </c>
      <c r="BI89" s="36">
        <f>_xlfn.IFERROR(SMALL(BI$2:BI$80,8),0)</f>
        <v>0</v>
      </c>
      <c r="BJ89" s="36">
        <f>_xlfn.IFERROR(SMALL(BJ$2:BJ$80,8),0)</f>
        <v>0</v>
      </c>
      <c r="BK89" s="36">
        <f>_xlfn.IFERROR(SMALL(BK$2:BK$80,8),0)</f>
        <v>0</v>
      </c>
      <c r="BL89" s="36">
        <f>_xlfn.IFERROR(SMALL(BL$2:BL$80,8),0)</f>
        <v>0</v>
      </c>
      <c r="BM89" s="36">
        <f>_xlfn.IFERROR(SMALL(BM$2:BM$80,8),0)</f>
        <v>0</v>
      </c>
      <c r="BN89" s="36">
        <f>_xlfn.IFERROR(SMALL(BN$2:BN$80,8),0)</f>
        <v>0</v>
      </c>
      <c r="BO89" s="36">
        <f>_xlfn.IFERROR(SMALL(BO$2:BO$80,8),0)</f>
        <v>0</v>
      </c>
    </row>
    <row r="90" spans="14:67" ht="13.5" customHeight="1">
      <c r="N90" s="95" t="s">
        <v>174</v>
      </c>
      <c r="O90" s="97"/>
      <c r="P90" s="70"/>
      <c r="Q90" s="97"/>
      <c r="R90" s="97"/>
      <c r="S90" s="238"/>
      <c r="T90" s="238"/>
      <c r="U90" s="238"/>
      <c r="V90" s="238"/>
      <c r="W90" s="118"/>
      <c r="X90" s="77"/>
      <c r="Y90" s="316"/>
      <c r="Z90" s="174" t="s">
        <v>198</v>
      </c>
      <c r="BA90" s="37"/>
      <c r="BB90" s="37"/>
      <c r="BC90" s="37"/>
      <c r="BD90" s="37"/>
      <c r="BE90" s="37"/>
      <c r="BF90" s="37"/>
      <c r="BG90" s="37"/>
      <c r="BH90" s="37"/>
      <c r="BI90" s="37"/>
      <c r="BJ90" s="37"/>
      <c r="BK90" s="37"/>
      <c r="BL90" s="37"/>
      <c r="BM90" s="37"/>
      <c r="BN90" s="37"/>
      <c r="BO90" s="37"/>
    </row>
    <row r="91" spans="14:67" ht="13.5" customHeight="1">
      <c r="N91" s="97" t="s">
        <v>174</v>
      </c>
      <c r="O91" s="97"/>
      <c r="P91" s="70"/>
      <c r="Q91" s="97"/>
      <c r="R91" s="97"/>
      <c r="S91" s="238"/>
      <c r="T91" s="238"/>
      <c r="U91" s="238"/>
      <c r="V91" s="238"/>
      <c r="W91" s="118"/>
      <c r="X91" s="77"/>
      <c r="Y91" s="316"/>
      <c r="Z91" s="266" t="s">
        <v>199</v>
      </c>
      <c r="BA91" s="37"/>
      <c r="BB91" s="37"/>
      <c r="BC91" s="37"/>
      <c r="BD91" s="37"/>
      <c r="BE91" s="37"/>
      <c r="BF91" s="37"/>
      <c r="BG91" s="37"/>
      <c r="BH91" s="37"/>
      <c r="BI91" s="37"/>
      <c r="BJ91" s="37"/>
      <c r="BK91" s="37"/>
      <c r="BL91" s="37"/>
      <c r="BM91" s="37"/>
      <c r="BN91" s="37"/>
      <c r="BO91" s="37"/>
    </row>
    <row r="92" spans="14:67" ht="13.5" customHeight="1">
      <c r="N92" s="97" t="s">
        <v>174</v>
      </c>
      <c r="O92" s="97"/>
      <c r="P92" s="70"/>
      <c r="Q92" s="97"/>
      <c r="R92" s="97"/>
      <c r="S92" s="238"/>
      <c r="T92" s="238"/>
      <c r="U92" s="238"/>
      <c r="V92" s="238"/>
      <c r="W92" s="118"/>
      <c r="X92" s="77"/>
      <c r="Y92" s="316"/>
      <c r="Z92" s="266" t="s">
        <v>200</v>
      </c>
      <c r="BA92" s="37"/>
      <c r="BB92" s="37"/>
      <c r="BC92" s="37"/>
      <c r="BD92" s="37"/>
      <c r="BE92" s="37"/>
      <c r="BF92" s="37"/>
      <c r="BG92" s="37"/>
      <c r="BH92" s="37"/>
      <c r="BI92" s="37"/>
      <c r="BJ92" s="37"/>
      <c r="BK92" s="37"/>
      <c r="BL92" s="37"/>
      <c r="BM92" s="37"/>
      <c r="BN92" s="37"/>
      <c r="BO92" s="37"/>
    </row>
    <row r="93" spans="14:67" ht="12.75">
      <c r="N93" s="97" t="s">
        <v>174</v>
      </c>
      <c r="O93" s="97"/>
      <c r="P93" s="70"/>
      <c r="Q93" s="97"/>
      <c r="R93" s="97"/>
      <c r="S93" s="238"/>
      <c r="T93" s="238"/>
      <c r="U93" s="238"/>
      <c r="V93" s="238"/>
      <c r="W93" s="118"/>
      <c r="X93" s="77"/>
      <c r="Y93" s="316"/>
      <c r="Z93" s="170"/>
      <c r="BA93" s="37"/>
      <c r="BB93" s="37"/>
      <c r="BC93" s="37"/>
      <c r="BD93" s="37"/>
      <c r="BE93" s="37"/>
      <c r="BF93" s="37"/>
      <c r="BG93" s="37"/>
      <c r="BH93" s="37"/>
      <c r="BI93" s="37"/>
      <c r="BJ93" s="37"/>
      <c r="BK93" s="37"/>
      <c r="BL93" s="37"/>
      <c r="BM93" s="37"/>
      <c r="BN93" s="37"/>
      <c r="BO93" s="37"/>
    </row>
    <row r="94" spans="14:67" ht="13.5" thickBot="1">
      <c r="N94" s="96" t="s">
        <v>174</v>
      </c>
      <c r="O94" s="96"/>
      <c r="P94" s="80"/>
      <c r="Q94" s="96"/>
      <c r="R94" s="96"/>
      <c r="S94" s="237"/>
      <c r="T94" s="237"/>
      <c r="U94" s="237"/>
      <c r="V94" s="237"/>
      <c r="W94" s="119"/>
      <c r="X94" s="82"/>
      <c r="Y94" s="368"/>
      <c r="Z94" s="171"/>
      <c r="BA94" s="37"/>
      <c r="BB94" s="37"/>
      <c r="BC94" s="37"/>
      <c r="BD94" s="37"/>
      <c r="BE94" s="37"/>
      <c r="BF94" s="37"/>
      <c r="BG94" s="37"/>
      <c r="BH94" s="37"/>
      <c r="BI94" s="37"/>
      <c r="BJ94" s="37"/>
      <c r="BK94" s="37"/>
      <c r="BL94" s="37"/>
      <c r="BM94" s="37"/>
      <c r="BN94" s="37"/>
      <c r="BO94" s="37"/>
    </row>
    <row r="95" spans="15:67" ht="15.75">
      <c r="O95" s="129"/>
      <c r="P95" s="155" t="s">
        <v>137</v>
      </c>
      <c r="Q95" s="206">
        <f>IF(T95&gt;0,S95/T95,0)</f>
        <v>0</v>
      </c>
      <c r="R95" s="244" t="s">
        <v>177</v>
      </c>
      <c r="S95" s="300">
        <f>SUM(S6:S94)</f>
        <v>0</v>
      </c>
      <c r="T95" s="300">
        <f>SUM(T6:T94)</f>
        <v>0</v>
      </c>
      <c r="U95" s="300">
        <f>SUM(U6:U94)</f>
        <v>0</v>
      </c>
      <c r="V95" s="300">
        <f>SUM(V6:V94)</f>
        <v>0</v>
      </c>
      <c r="W95" s="244"/>
      <c r="BA95" s="37"/>
      <c r="BB95" s="37"/>
      <c r="BC95" s="37"/>
      <c r="BD95" s="37"/>
      <c r="BE95" s="37"/>
      <c r="BF95" s="37"/>
      <c r="BG95" s="37"/>
      <c r="BH95" s="37"/>
      <c r="BI95" s="37"/>
      <c r="BJ95" s="37"/>
      <c r="BK95" s="37"/>
      <c r="BL95" s="37"/>
      <c r="BM95" s="37"/>
      <c r="BN95" s="37"/>
      <c r="BO95" s="37"/>
    </row>
    <row r="96" spans="15:67" ht="15.75">
      <c r="O96" s="129"/>
      <c r="P96" s="155" t="s">
        <v>163</v>
      </c>
      <c r="Q96" s="207">
        <f>T95</f>
        <v>0</v>
      </c>
      <c r="R96" s="240"/>
      <c r="S96" s="301"/>
      <c r="T96" s="301"/>
      <c r="U96" s="301"/>
      <c r="V96" s="301"/>
      <c r="W96" s="114"/>
      <c r="BA96" s="37"/>
      <c r="BB96" s="37"/>
      <c r="BC96" s="37"/>
      <c r="BD96" s="37"/>
      <c r="BE96" s="37"/>
      <c r="BF96" s="37"/>
      <c r="BG96" s="37"/>
      <c r="BH96" s="37"/>
      <c r="BI96" s="37"/>
      <c r="BJ96" s="37"/>
      <c r="BK96" s="37"/>
      <c r="BL96" s="37"/>
      <c r="BM96" s="37"/>
      <c r="BN96" s="37"/>
      <c r="BO96" s="37"/>
    </row>
    <row r="97" spans="15:67" ht="15.75">
      <c r="O97" s="129"/>
      <c r="P97" s="155" t="s">
        <v>172</v>
      </c>
      <c r="Q97" s="206">
        <f>IF(V95&gt;0,U95/V95,0)</f>
        <v>0</v>
      </c>
      <c r="R97" s="243" t="s">
        <v>176</v>
      </c>
      <c r="S97" s="301"/>
      <c r="T97" s="301"/>
      <c r="U97" s="301"/>
      <c r="V97" s="301"/>
      <c r="W97" s="243"/>
      <c r="BA97" s="37"/>
      <c r="BB97" s="37"/>
      <c r="BC97" s="37"/>
      <c r="BD97" s="37"/>
      <c r="BE97" s="37"/>
      <c r="BF97" s="37"/>
      <c r="BG97" s="37"/>
      <c r="BH97" s="37"/>
      <c r="BI97" s="37"/>
      <c r="BJ97" s="37"/>
      <c r="BK97" s="37"/>
      <c r="BL97" s="37"/>
      <c r="BM97" s="37"/>
      <c r="BN97" s="37"/>
      <c r="BO97" s="37"/>
    </row>
    <row r="98" spans="15:23" ht="16.5" thickBot="1">
      <c r="O98" s="129"/>
      <c r="P98" s="155" t="s">
        <v>173</v>
      </c>
      <c r="Q98" s="207">
        <f>V95</f>
        <v>0</v>
      </c>
      <c r="R98" s="240"/>
      <c r="S98" s="301"/>
      <c r="T98" s="301"/>
      <c r="U98" s="301"/>
      <c r="V98" s="301"/>
      <c r="W98" s="114"/>
    </row>
    <row r="99" spans="15:53" ht="12.75">
      <c r="O99" s="387" t="s">
        <v>197</v>
      </c>
      <c r="P99" s="388"/>
      <c r="Q99" s="388"/>
      <c r="R99" s="388"/>
      <c r="S99" s="388"/>
      <c r="T99" s="388"/>
      <c r="U99" s="388"/>
      <c r="V99" s="388"/>
      <c r="W99" s="388"/>
      <c r="X99" s="388"/>
      <c r="Y99" s="388"/>
      <c r="Z99" s="389"/>
      <c r="BA99" s="37"/>
    </row>
    <row r="100" spans="15:26" ht="13.5" thickBot="1">
      <c r="O100" s="390"/>
      <c r="P100" s="391"/>
      <c r="Q100" s="391"/>
      <c r="R100" s="391"/>
      <c r="S100" s="391"/>
      <c r="T100" s="391"/>
      <c r="U100" s="391"/>
      <c r="V100" s="391"/>
      <c r="W100" s="391"/>
      <c r="X100" s="391"/>
      <c r="Y100" s="391"/>
      <c r="Z100" s="392"/>
    </row>
    <row r="101" spans="17:26" ht="13.5" thickBot="1">
      <c r="Q101" s="14"/>
      <c r="R101" s="14" t="s">
        <v>144</v>
      </c>
      <c r="S101" s="302"/>
      <c r="T101" s="302"/>
      <c r="U101" s="302"/>
      <c r="V101" s="302"/>
      <c r="W101" s="416" t="s">
        <v>166</v>
      </c>
      <c r="X101" s="417"/>
      <c r="Y101" s="417"/>
      <c r="Z101" s="418"/>
    </row>
  </sheetData>
  <sheetProtection password="8395" sheet="1" selectLockedCells="1"/>
  <mergeCells count="45">
    <mergeCell ref="C3:E3"/>
    <mergeCell ref="C4:E4"/>
    <mergeCell ref="Z28:Z30"/>
    <mergeCell ref="Z26:Z27"/>
    <mergeCell ref="Q3:Q4"/>
    <mergeCell ref="U3:U4"/>
    <mergeCell ref="V3:V4"/>
    <mergeCell ref="R3:R4"/>
    <mergeCell ref="X2:Z3"/>
    <mergeCell ref="O3:O4"/>
    <mergeCell ref="BQ1:CA5"/>
    <mergeCell ref="F35:H35"/>
    <mergeCell ref="J35:L35"/>
    <mergeCell ref="B23:D23"/>
    <mergeCell ref="F23:H23"/>
    <mergeCell ref="J23:L23"/>
    <mergeCell ref="S3:S4"/>
    <mergeCell ref="T3:T4"/>
    <mergeCell ref="A5:C5"/>
    <mergeCell ref="C2:E2"/>
    <mergeCell ref="P3:P4"/>
    <mergeCell ref="X4:Z4"/>
    <mergeCell ref="Z23:Z24"/>
    <mergeCell ref="Z37:Z38"/>
    <mergeCell ref="W101:Z101"/>
    <mergeCell ref="Y67:Y69"/>
    <mergeCell ref="Z67:Z69"/>
    <mergeCell ref="Z74:Z76"/>
    <mergeCell ref="Z32:Z34"/>
    <mergeCell ref="B35:D35"/>
    <mergeCell ref="B11:D11"/>
    <mergeCell ref="F11:H11"/>
    <mergeCell ref="J11:L11"/>
    <mergeCell ref="B59:D59"/>
    <mergeCell ref="F59:H59"/>
    <mergeCell ref="J59:L59"/>
    <mergeCell ref="N39:N44"/>
    <mergeCell ref="AA55:AB56"/>
    <mergeCell ref="AA62:AB65"/>
    <mergeCell ref="N88:N89"/>
    <mergeCell ref="O99:Z100"/>
    <mergeCell ref="B76:L82"/>
    <mergeCell ref="B47:D47"/>
    <mergeCell ref="F47:H47"/>
    <mergeCell ref="J47:L47"/>
  </mergeCells>
  <conditionalFormatting sqref="K68 K20 K32 K44 K56">
    <cfRule type="cellIs" priority="289" dxfId="72" operator="lessThan" stopIfTrue="1">
      <formula>6</formula>
    </cfRule>
    <cfRule type="cellIs" priority="290" dxfId="153" operator="greaterThanOrEqual" stopIfTrue="1">
      <formula>12</formula>
    </cfRule>
    <cfRule type="cellIs" priority="291" dxfId="77" operator="greaterThanOrEqual" stopIfTrue="1">
      <formula>6</formula>
    </cfRule>
  </conditionalFormatting>
  <conditionalFormatting sqref="C20 G20 C32 G32 C44 G44 C56 G56 C68 G68">
    <cfRule type="cellIs" priority="3" dxfId="0" operator="equal" stopIfTrue="1">
      <formula>0</formula>
    </cfRule>
    <cfRule type="cellIs" priority="286" dxfId="72" operator="lessThan" stopIfTrue="1">
      <formula>12</formula>
    </cfRule>
    <cfRule type="cellIs" priority="287" dxfId="71" operator="greaterThanOrEqual" stopIfTrue="1">
      <formula>18</formula>
    </cfRule>
    <cfRule type="cellIs" priority="288" dxfId="77" operator="greaterThanOrEqual" stopIfTrue="1">
      <formula>12</formula>
    </cfRule>
  </conditionalFormatting>
  <conditionalFormatting sqref="D13:D19 H13:H19 L13:L19 D25:D31 H25:H31 L25:L31 D37:D43 H37:H43 L37:L43 D49:D55 H49:H55 L49:L55 D61:D67 H61:H67 L61:L67">
    <cfRule type="cellIs" priority="283" dxfId="69" operator="equal" stopIfTrue="1">
      <formula>"D"</formula>
    </cfRule>
    <cfRule type="cellIs" priority="284" dxfId="51" operator="equal" stopIfTrue="1">
      <formula>"F"</formula>
    </cfRule>
    <cfRule type="cellIs" priority="285" dxfId="67" operator="equal" stopIfTrue="1">
      <formula>0</formula>
    </cfRule>
  </conditionalFormatting>
  <conditionalFormatting sqref="J11:L11 F11:H11 B11:D11">
    <cfRule type="cellIs" priority="282" dxfId="74" operator="equal" stopIfTrue="1">
      <formula>$G$5</formula>
    </cfRule>
  </conditionalFormatting>
  <conditionalFormatting sqref="B20 F20 J20 B32 F32 J32 B44 F44 J44 B56 F56 J56 B68 F68 J68">
    <cfRule type="containsText" priority="238" dxfId="51" operator="containsText" stopIfTrue="1" text="Excess">
      <formula>NOT(ISERROR(SEARCH("Excess",B20)))</formula>
    </cfRule>
  </conditionalFormatting>
  <conditionalFormatting sqref="B13:B19 F13:F19 J13:J19 J25:J31 B25:B31 F25:F31 B37:B43 F37:F43 J37:J43 B49:B55 F49:F55 J49:J55 B61:B67 F61:F67 J61:J67">
    <cfRule type="cellIs" priority="99" dxfId="2" operator="equal" stopIfTrue="1">
      <formula>0</formula>
    </cfRule>
    <cfRule type="containsText" priority="105" dxfId="1" operator="containsText" stopIfTrue="1" text="Error">
      <formula>NOT(ISERROR(SEARCH("Error",B13)))</formula>
    </cfRule>
  </conditionalFormatting>
  <conditionalFormatting sqref="C13:C19 G13:G19 K13:K19 C25:C31 G25:G31 K25:K31 C37:C43 G37:G43 K37:K43 C49:C55 G49:G55 K49:K55 C61:C67 G61:G67 K61:K67">
    <cfRule type="cellIs" priority="100" dxfId="2" operator="equal" stopIfTrue="1">
      <formula>0</formula>
    </cfRule>
  </conditionalFormatting>
  <conditionalFormatting sqref="O46 O52 O62:O63 O57:O59">
    <cfRule type="containsText" priority="94" dxfId="1" operator="containsText" stopIfTrue="1" text="su">
      <formula>NOT(ISERROR(SEARCH("su",O46)))</formula>
    </cfRule>
  </conditionalFormatting>
  <conditionalFormatting sqref="O53">
    <cfRule type="containsText" priority="92" dxfId="1" operator="containsText" stopIfTrue="1" text="fa">
      <formula>NOT(ISERROR(SEARCH("fa",O53)))</formula>
    </cfRule>
  </conditionalFormatting>
  <conditionalFormatting sqref="O54:O56">
    <cfRule type="containsText" priority="91" dxfId="1" operator="containsText" stopIfTrue="1" text="sp">
      <formula>NOT(ISERROR(SEARCH("sp",O54)))</formula>
    </cfRule>
  </conditionalFormatting>
  <conditionalFormatting sqref="O64:O65">
    <cfRule type="containsText" priority="77" dxfId="1" operator="containsText" stopIfTrue="1" text="su">
      <formula>NOT(ISERROR(SEARCH("su",O64)))</formula>
    </cfRule>
    <cfRule type="containsText" priority="78" dxfId="1" operator="containsText" stopIfTrue="1" text="fa">
      <formula>NOT(ISERROR(SEARCH("fa",O64)))</formula>
    </cfRule>
  </conditionalFormatting>
  <conditionalFormatting sqref="F4">
    <cfRule type="cellIs" priority="71" dxfId="58" operator="greaterThan" stopIfTrue="1">
      <formula>0</formula>
    </cfRule>
  </conditionalFormatting>
  <conditionalFormatting sqref="C4:E4">
    <cfRule type="expression" priority="70" dxfId="58" stopIfTrue="1">
      <formula>$F$4&gt;0</formula>
    </cfRule>
  </conditionalFormatting>
  <conditionalFormatting sqref="Q83:Q94 Q67:Q69 Q71:Q81 Q35:Q43 Q6:Q7 Q23:Q24 Q9:Q13 Q15:R16 Q18:R21 Q11:R13 Q40:R43 Q45:Q65 Q26:R30 Q32:R38">
    <cfRule type="containsText" priority="1" dxfId="1" operator="containsText" stopIfTrue="1" text="u">
      <formula>NOT(ISERROR(SEARCH("u",Q6)))</formula>
    </cfRule>
    <cfRule type="containsText" priority="677" dxfId="1" operator="containsText" stopIfTrue="1" text="f">
      <formula>NOT(ISERROR(SEARCH("f",Q6)))</formula>
    </cfRule>
    <cfRule type="containsText" priority="870" dxfId="5" operator="containsText" stopIfTrue="1" text="d">
      <formula>NOT(ISERROR(SEARCH("d",Q6)))</formula>
    </cfRule>
  </conditionalFormatting>
  <conditionalFormatting sqref="AJ2:AJ10 AJ60:AJ80 AJ12:AJ58">
    <cfRule type="containsText" priority="483" dxfId="1" operator="containsText" stopIfTrue="1" text="error">
      <formula>NOT(ISERROR(SEARCH("error",AJ2)))</formula>
    </cfRule>
  </conditionalFormatting>
  <conditionalFormatting sqref="AN2:AN80">
    <cfRule type="containsText" priority="56" dxfId="50" operator="containsText" stopIfTrue="1" text="Y">
      <formula>NOT(ISERROR(SEARCH("Y",AN2)))</formula>
    </cfRule>
  </conditionalFormatting>
  <conditionalFormatting sqref="O45:Q45 AJ34">
    <cfRule type="expression" priority="54" dxfId="3" stopIfTrue="1">
      <formula>$N$45</formula>
    </cfRule>
  </conditionalFormatting>
  <conditionalFormatting sqref="O13:Q13 AJ8">
    <cfRule type="expression" priority="57" dxfId="3" stopIfTrue="1">
      <formula>$AO$8</formula>
    </cfRule>
  </conditionalFormatting>
  <conditionalFormatting sqref="O48:Q48 AJ37">
    <cfRule type="expression" priority="69" dxfId="3" stopIfTrue="1">
      <formula>$AO$37</formula>
    </cfRule>
  </conditionalFormatting>
  <conditionalFormatting sqref="AJ2 O6:Q6">
    <cfRule type="expression" priority="51" dxfId="3" stopIfTrue="1">
      <formula>$AO$2</formula>
    </cfRule>
  </conditionalFormatting>
  <conditionalFormatting sqref="AJ3 O7:Q7">
    <cfRule type="expression" priority="50" dxfId="3" stopIfTrue="1">
      <formula>$AO$3</formula>
    </cfRule>
  </conditionalFormatting>
  <conditionalFormatting sqref="AJ15">
    <cfRule type="expression" priority="49" dxfId="3" stopIfTrue="1">
      <formula>$AO$15</formula>
    </cfRule>
  </conditionalFormatting>
  <conditionalFormatting sqref="AJ16">
    <cfRule type="expression" priority="48" dxfId="3" stopIfTrue="1">
      <formula>$AO$16</formula>
    </cfRule>
  </conditionalFormatting>
  <conditionalFormatting sqref="AJ17">
    <cfRule type="expression" priority="47" dxfId="3" stopIfTrue="1">
      <formula>$AO$17</formula>
    </cfRule>
  </conditionalFormatting>
  <conditionalFormatting sqref="AJ18">
    <cfRule type="expression" priority="46" dxfId="3" stopIfTrue="1">
      <formula>$AO$18</formula>
    </cfRule>
  </conditionalFormatting>
  <conditionalFormatting sqref="AJ27 O36:Q36">
    <cfRule type="expression" priority="45" dxfId="3" stopIfTrue="1">
      <formula>$AO$27</formula>
    </cfRule>
  </conditionalFormatting>
  <conditionalFormatting sqref="AJ28 O37:Q37">
    <cfRule type="expression" priority="44" dxfId="3" stopIfTrue="1">
      <formula>$AO$28</formula>
    </cfRule>
  </conditionalFormatting>
  <conditionalFormatting sqref="AJ29 O38:Q38">
    <cfRule type="expression" priority="43" dxfId="3" stopIfTrue="1">
      <formula>$AO$29</formula>
    </cfRule>
  </conditionalFormatting>
  <conditionalFormatting sqref="AJ44 O55:Q55">
    <cfRule type="expression" priority="42" dxfId="3" stopIfTrue="1">
      <formula>$AO$44</formula>
    </cfRule>
  </conditionalFormatting>
  <conditionalFormatting sqref="AJ45 O56:Q56">
    <cfRule type="expression" priority="41" dxfId="3" stopIfTrue="1">
      <formula>$AO$45</formula>
    </cfRule>
  </conditionalFormatting>
  <conditionalFormatting sqref="AJ51 O62:Q62">
    <cfRule type="expression" priority="40" dxfId="3" stopIfTrue="1">
      <formula>$AO$51</formula>
    </cfRule>
  </conditionalFormatting>
  <conditionalFormatting sqref="AJ52 O63:Q63">
    <cfRule type="expression" priority="39" dxfId="3" stopIfTrue="1">
      <formula>$AO$52</formula>
    </cfRule>
  </conditionalFormatting>
  <conditionalFormatting sqref="AJ53 O64:Q64">
    <cfRule type="expression" priority="38" dxfId="3" stopIfTrue="1">
      <formula>$AO$53</formula>
    </cfRule>
  </conditionalFormatting>
  <conditionalFormatting sqref="AJ54 O65:Q65">
    <cfRule type="expression" priority="37" dxfId="3" stopIfTrue="1">
      <formula>$AO$54</formula>
    </cfRule>
  </conditionalFormatting>
  <conditionalFormatting sqref="AJ57 O69:Q69">
    <cfRule type="expression" priority="36" dxfId="3" stopIfTrue="1">
      <formula>$AO$57</formula>
    </cfRule>
  </conditionalFormatting>
  <conditionalFormatting sqref="AJ58 O71:Q71">
    <cfRule type="expression" priority="35" dxfId="3" stopIfTrue="1">
      <formula>$AO$58</formula>
    </cfRule>
  </conditionalFormatting>
  <conditionalFormatting sqref="O72:Q72">
    <cfRule type="expression" priority="34" dxfId="3" stopIfTrue="1">
      <formula>$AO$59</formula>
    </cfRule>
  </conditionalFormatting>
  <conditionalFormatting sqref="AJ60 O73:Q73">
    <cfRule type="expression" priority="33" dxfId="3" stopIfTrue="1">
      <formula>$AO$60</formula>
    </cfRule>
  </conditionalFormatting>
  <conditionalFormatting sqref="AJ61 O74:Q74">
    <cfRule type="expression" priority="32" dxfId="3" stopIfTrue="1">
      <formula>$AO$61</formula>
    </cfRule>
  </conditionalFormatting>
  <conditionalFormatting sqref="AJ62 O75:Q75">
    <cfRule type="expression" priority="31" dxfId="3" stopIfTrue="1">
      <formula>$AO$62</formula>
    </cfRule>
  </conditionalFormatting>
  <conditionalFormatting sqref="AJ63 O76:Q76">
    <cfRule type="expression" priority="30" dxfId="3" stopIfTrue="1">
      <formula>$AO$63</formula>
    </cfRule>
  </conditionalFormatting>
  <conditionalFormatting sqref="AJ64 O77:Q77">
    <cfRule type="expression" priority="29" dxfId="3" stopIfTrue="1">
      <formula>$AO$64</formula>
    </cfRule>
  </conditionalFormatting>
  <conditionalFormatting sqref="AJ65 O78:Q78">
    <cfRule type="expression" priority="28" dxfId="3" stopIfTrue="1">
      <formula>$AO$65</formula>
    </cfRule>
  </conditionalFormatting>
  <conditionalFormatting sqref="AJ66 O79:Q79">
    <cfRule type="expression" priority="27" dxfId="3" stopIfTrue="1">
      <formula>$AO$66</formula>
    </cfRule>
  </conditionalFormatting>
  <conditionalFormatting sqref="AJ67 O80:Q80">
    <cfRule type="expression" priority="26" dxfId="3" stopIfTrue="1">
      <formula>$AO$67</formula>
    </cfRule>
  </conditionalFormatting>
  <conditionalFormatting sqref="AJ68 O81:Q81">
    <cfRule type="expression" priority="25" dxfId="3" stopIfTrue="1">
      <formula>$AO$68</formula>
    </cfRule>
  </conditionalFormatting>
  <conditionalFormatting sqref="AJ69 O83:Q83">
    <cfRule type="expression" priority="24" dxfId="3" stopIfTrue="1">
      <formula>$AO$69</formula>
    </cfRule>
  </conditionalFormatting>
  <conditionalFormatting sqref="AJ70 O84:Q84">
    <cfRule type="expression" priority="23" dxfId="3" stopIfTrue="1">
      <formula>$AO$70</formula>
    </cfRule>
  </conditionalFormatting>
  <conditionalFormatting sqref="AJ71 O85:Q85">
    <cfRule type="expression" priority="22" dxfId="3" stopIfTrue="1">
      <formula>$AO$71</formula>
    </cfRule>
  </conditionalFormatting>
  <conditionalFormatting sqref="AJ72 O86:Q86">
    <cfRule type="expression" priority="21" dxfId="3" stopIfTrue="1">
      <formula>$AO$72</formula>
    </cfRule>
  </conditionalFormatting>
  <conditionalFormatting sqref="AJ73 O87:Q87">
    <cfRule type="expression" priority="20" dxfId="3" stopIfTrue="1">
      <formula>$AO$73</formula>
    </cfRule>
  </conditionalFormatting>
  <conditionalFormatting sqref="AJ74 O88:Q88">
    <cfRule type="expression" priority="19" dxfId="3" stopIfTrue="1">
      <formula>$AO$74</formula>
    </cfRule>
  </conditionalFormatting>
  <conditionalFormatting sqref="AJ75 O89:Q89">
    <cfRule type="expression" priority="18" dxfId="3" stopIfTrue="1">
      <formula>$AO$75</formula>
    </cfRule>
  </conditionalFormatting>
  <conditionalFormatting sqref="AJ76 O90:Q90">
    <cfRule type="expression" priority="17" dxfId="3" stopIfTrue="1">
      <formula>$AO$76</formula>
    </cfRule>
  </conditionalFormatting>
  <conditionalFormatting sqref="AJ77 O91:Q91">
    <cfRule type="expression" priority="16" dxfId="3" stopIfTrue="1">
      <formula>$AO$77</formula>
    </cfRule>
  </conditionalFormatting>
  <conditionalFormatting sqref="AJ78 O92:Q92">
    <cfRule type="expression" priority="15" dxfId="3" stopIfTrue="1">
      <formula>$AO$78</formula>
    </cfRule>
  </conditionalFormatting>
  <conditionalFormatting sqref="AJ79 O93:Q93">
    <cfRule type="expression" priority="14" dxfId="3" stopIfTrue="1">
      <formula>$AO$79</formula>
    </cfRule>
  </conditionalFormatting>
  <conditionalFormatting sqref="AJ80 O94:Q94">
    <cfRule type="expression" priority="13" dxfId="3" stopIfTrue="1">
      <formula>$AO$80</formula>
    </cfRule>
  </conditionalFormatting>
  <conditionalFormatting sqref="AJ25 O33:Q33">
    <cfRule type="expression" priority="12" dxfId="3" stopIfTrue="1">
      <formula>$AO$25</formula>
    </cfRule>
  </conditionalFormatting>
  <conditionalFormatting sqref="AJ26 O34:Q34">
    <cfRule type="expression" priority="11" dxfId="3" stopIfTrue="1">
      <formula>$AO$26</formula>
    </cfRule>
  </conditionalFormatting>
  <conditionalFormatting sqref="AJ59">
    <cfRule type="containsText" priority="8" dxfId="1" operator="containsText" stopIfTrue="1" text="error">
      <formula>NOT(ISERROR(SEARCH("error",AJ59)))</formula>
    </cfRule>
  </conditionalFormatting>
  <conditionalFormatting sqref="AJ59">
    <cfRule type="expression" priority="7" dxfId="3" stopIfTrue="1">
      <formula>$AO$59</formula>
    </cfRule>
  </conditionalFormatting>
  <conditionalFormatting sqref="AJ11">
    <cfRule type="containsText" priority="5" dxfId="1" operator="containsText" stopIfTrue="1" text="error">
      <formula>NOT(ISERROR(SEARCH("error",AJ11)))</formula>
    </cfRule>
  </conditionalFormatting>
  <conditionalFormatting sqref="AJ19:AJ26 AJ55:AJ57 AJ66:AJ68 AJ70:AJ80">
    <cfRule type="cellIs" priority="4" dxfId="1" operator="equal" stopIfTrue="1">
      <formula>0</formula>
    </cfRule>
  </conditionalFormatting>
  <conditionalFormatting sqref="K20 K32 K44 K56 K68">
    <cfRule type="cellIs" priority="2" dxfId="0" operator="equal" stopIfTrue="1">
      <formula>0</formula>
    </cfRule>
  </conditionalFormatting>
  <dataValidations count="31">
    <dataValidation type="list" showInputMessage="1" showErrorMessage="1" prompt="Select Course from the drop down list." sqref="W23">
      <formula1>$AW$1:$AW$3</formula1>
    </dataValidation>
    <dataValidation type="list" showInputMessage="1" showErrorMessage="1" prompt="This course is co-listed with Civil Engineering." sqref="W40">
      <formula1>$AW$5:$AW$6</formula1>
    </dataValidation>
    <dataValidation type="list" showInputMessage="1" showErrorMessage="1" prompt="This course is co-listed with Civil Engineering." sqref="W51">
      <formula1>$AW$8:$AW$9</formula1>
    </dataValidation>
    <dataValidation type="list" allowBlank="1" showInputMessage="1" showErrorMessage="1" prompt="This course is co-listed with Civil Engineering." sqref="W47">
      <formula1>$AW$11:$AW$12</formula1>
    </dataValidation>
    <dataValidation type="list" allowBlank="1" showInputMessage="1" showErrorMessage="1" prompt="Select semester from drop down menu." sqref="O40:O43 O60:O61 O47:O51 O45">
      <formula1>$AS$1:$AS$4</formula1>
    </dataValidation>
    <dataValidation type="list" allowBlank="1" showInputMessage="1" showErrorMessage="1" prompt="Select semester from drop down menu." sqref="O46 O57:O59 O62:O63 O52">
      <formula1>$AQ$1:$AQ$3</formula1>
    </dataValidation>
    <dataValidation type="list" allowBlank="1" showInputMessage="1" showErrorMessage="1" prompt="Select semester from drop down menu." sqref="O54">
      <formula1>$AR$1:$AR$3</formula1>
    </dataValidation>
    <dataValidation type="list" allowBlank="1" showInputMessage="1" showErrorMessage="1" prompt="Select semester from drop down menu." sqref="O53">
      <formula1>$AP$1:$AP$3</formula1>
    </dataValidation>
    <dataValidation type="list" allowBlank="1" showInputMessage="1" showErrorMessage="1" prompt="Select semester from drop down menu." sqref="O64:O65">
      <formula1>$AP$7:$AP$8</formula1>
    </dataValidation>
    <dataValidation type="list" allowBlank="1" showInputMessage="1" showErrorMessage="1" prompt="Enter &quot;N&quot; here only if you have repeated a course and you want to include the course here and exclude this grade attempt from your computed GPA." sqref="N90:N94">
      <formula1>$AP$14:$AP$15</formula1>
    </dataValidation>
    <dataValidation errorStyle="warning" type="list" allowBlank="1" showInputMessage="1" showErrorMessage="1" promptTitle="Other Grades?" prompt="You can enter + and - grades here but they do not affect your GPA. You can ignore the error message which follows and click &quot;Yes&quot; to continue. &#10;&#10;You can also enter grades of D or F. The error message which follows is for these grades." errorTitle="Minimum" error="A minimum grade of a &quot;C&quot; is required for courses that are a prerequisite for other courses." sqref="Q9:Q13 Q71:Q78 Q18:Q21 Q15:Q16 Q6">
      <formula1>$AU$1:$AU$8</formula1>
    </dataValidation>
    <dataValidation errorStyle="warning" type="list" allowBlank="1" showInputMessage="1" showErrorMessage="1" promptTitle="Other Grades?" prompt="You can enter + and - grades here but they do not affect your GPA. You can ignore the error message which follows and click &quot;Yes&quot; to continue.&#10;&#10;You can also enter grades of D or F. The error message which follows is for these grades." errorTitle="Minimum" error="A minimum grade of a &quot;C&quot; is required for courses that are a prerequisite for other courses." sqref="Q45:Q54 Q36:Q38 Q40:Q43 Q60:Q61">
      <formula1>$AU$1:$AU$7</formula1>
    </dataValidation>
    <dataValidation errorStyle="warning" type="list" allowBlank="1" showInputMessage="1" showErrorMessage="1" promptTitle="Other Grades?" prompt="You can enter + and - grades here but they do not affect your GPA. You can ignore the error message which follows and click &quot;Yes&quot; to continue.&#10;&#10;You can also enter a grade of F. The error message which follows is for this grade." errorTitle="Minimum Grade" error="A minimum grade of a &quot;D&quot; is required for courses that are not a prerequisite for any other course." sqref="Q55:Q59 Q67:Q69 Q62:Q65">
      <formula1>$AU$12:$AU$19</formula1>
    </dataValidation>
    <dataValidation type="list" showInputMessage="1" showErrorMessage="1" prompt="Select semester from drop down menu." sqref="D5">
      <formula1>$AS$2:$AS$4</formula1>
    </dataValidation>
    <dataValidation errorStyle="warning" type="list" allowBlank="1" showInputMessage="1" showErrorMessage="1" promptTitle="Other Grades?" prompt="You can enter + and - grades here but they do not affect your GPA. You can ignore the error message which follows and click &quot;Yes&quot; to continue.&#10;&#10;You can also enter a  grade of F. The error message which follows is for this grade." errorTitle="Minimum Grade" error="A minimum grade of a &quot;D&quot; is required for courses that are not a prerequisite for any other course." sqref="Q23:Q24">
      <formula1>$AU$12:$AU$20</formula1>
    </dataValidation>
    <dataValidation type="list" allowBlank="1" showInputMessage="1" showErrorMessage="1" promptTitle="Waive Prereq Error?" prompt="If your advisor has approved a prereq override for you, then you can enter &quot;Y&quot; here and the prereq error will be ignored." sqref="AN2:AN80">
      <formula1>$AP$13:$AP$14</formula1>
    </dataValidation>
    <dataValidation allowBlank="1" showInputMessage="1" showErrorMessage="1" prompt="See HSBS/HFA Requirements document at: http://www.uah.edu/images/colleges/engineering/CUE2%20Files/Forms/HSBS_HFA_Requirements.pdf" sqref="W26:W30 W32:W34"/>
    <dataValidation type="whole" allowBlank="1" showInputMessage="1" showErrorMessage="1" prompt="Enter Year in YYYY format" sqref="E5 P6:P7 P9:P13 P15:P16 P18:P21 P23:P24 P26:P30 P32:P34 P36:P38 P40:P43 P45:P65 P67:P69 P71:P81 P83:P94">
      <formula1>1990</formula1>
      <formula2>2040</formula2>
    </dataValidation>
    <dataValidation type="list" allowBlank="1" showInputMessage="1" showErrorMessage="1" promptTitle="Warning!" prompt="MAE 440 is offered only in alternating summer semesters." sqref="O55">
      <formula1>$AR$1:$AR$3</formula1>
    </dataValidation>
    <dataValidation type="list" allowBlank="1" showInputMessage="1" showErrorMessage="1" promptTitle="Warning!" prompt="MAE 441 is offered only in alternating summer semesters." sqref="O56">
      <formula1>$AR$1:$AR$3</formula1>
    </dataValidation>
    <dataValidation type="whole" allowBlank="1" showInputMessage="1" showErrorMessage="1" prompt="Enter the number of course credit hours" sqref="X32:X34 X67:X69 X79:X81 X84:X94">
      <formula1>0</formula1>
      <formula2>5</formula2>
    </dataValidation>
    <dataValidation type="textLength" operator="equal" allowBlank="1" showInputMessage="1" showErrorMessage="1" prompt="Enter A# in A25###### format" sqref="C3:E3">
      <formula1>9</formula1>
    </dataValidation>
    <dataValidation type="list" allowBlank="1" showInputMessage="1" showErrorMessage="1" promptTitle="Not Offered!" prompt="This course is no longer being offered. If you have already taken this course, enter the semester and year you took it. " sqref="O36:O38">
      <formula1>$AS$1:$AS$4</formula1>
    </dataValidation>
    <dataValidation type="list" allowBlank="1" showInputMessage="1" showErrorMessage="1" promptTitle="Course Offering?" prompt="Please check the class schedule to see if this course is actually offered in the semester you plan on taking it." sqref="O67:O69">
      <formula1>$AS$1:$AS$4</formula1>
    </dataValidation>
    <dataValidation type="list" allowBlank="1" showInputMessage="1" showErrorMessage="1" promptTitle="Course Offering?" prompt="Please check the class schedule to see if this course is actually offered in the semester you plan on taking it." sqref="O71:O81 O83:O94 O6:O7 O9:O13 O15:O16 O18:O21 O23:O24 O26:O30 O32:O34">
      <formula1>$AT$1:$AT$6</formula1>
    </dataValidation>
    <dataValidation type="list" allowBlank="1" showInputMessage="1" showErrorMessage="1" prompt="Enter &quot;Y&quot; if this is an MAE course." sqref="R32:R34 R79:R81 R84:R94">
      <formula1>$AP$13:$AP$15</formula1>
    </dataValidation>
    <dataValidation errorStyle="warning" type="list" allowBlank="1" showInputMessage="1" showErrorMessage="1" promptTitle="Other Grades?" prompt="You can enter + and - grades here but they do not affect your GPA. You can ignore the error message which follows and click &quot;Yes&quot; to continue.&#10;&#10;You can also enter grades of F or U. The error message which follows is for these grades." errorTitle="Minimum Grade" error="A minimum grade of a &quot;D&quot; is required for courses that are not a prerequisite for any other course." sqref="Q7 Q83:Q89 Q79:Q81 Q32:Q34 Q26:Q30">
      <formula1>$AV$1:$AV$11</formula1>
    </dataValidation>
    <dataValidation errorStyle="information" type="list" allowBlank="1" showInputMessage="1" showErrorMessage="1" promptTitle="Other Grades?" prompt="You can enter + and - grades here but they do not affect your GPA." errorTitle="Other Grade" error="You can enter + and - grades here but according to the UAH system of grading, they do not affect your GPA.." sqref="Q90:Q94">
      <formula1>$AV$12:$AV$25</formula1>
    </dataValidation>
    <dataValidation allowBlank="1" showInputMessage="1" showErrorMessage="1" prompt="Enter course name." sqref="Y26:Y30 Y32:Y34 Y79:Y81 Y84:Y85 Y86:Y94"/>
    <dataValidation allowBlank="1" showInputMessage="1" showErrorMessage="1" prompt="Enter course designation." sqref="W67:W69 W79:W81 W84:W94"/>
    <dataValidation allowBlank="1" showInputMessage="1" showErrorMessage="1" prompt="Enter your name last name first." sqref="C2:E2"/>
  </dataValidations>
  <hyperlinks>
    <hyperlink ref="W101" r:id="rId1" display="http://www.uah.edu/images/Engineering/mechanical-aerospace/pdfs/Planned%20Offering%20of%20Undergraduate%20Courses%202009-2014%20rev%202-21-12.pdf"/>
    <hyperlink ref="Z28" r:id="rId2" display="http://www.uah.edu/images/colleges/engineering/CUE2%20Files/Forms/HSBS_HFA_Requirements.pdf"/>
  </hyperlinks>
  <printOptions horizontalCentered="1" verticalCentered="1"/>
  <pageMargins left="0.5" right="0.5" top="0.25" bottom="0.25" header="0.25" footer="0.25"/>
  <pageSetup fitToHeight="1" fitToWidth="1" horizontalDpi="600" verticalDpi="600" orientation="portrait" scale="56" r:id="rId3"/>
  <ignoredErrors>
    <ignoredError sqref="BC2:BC14 BF2:BL14 AJ59" formula="1"/>
  </ignoredErrors>
</worksheet>
</file>

<file path=xl/worksheets/sheet3.xml><?xml version="1.0" encoding="utf-8"?>
<worksheet xmlns="http://schemas.openxmlformats.org/spreadsheetml/2006/main" xmlns:r="http://schemas.openxmlformats.org/officeDocument/2006/relationships">
  <sheetPr>
    <tabColor theme="3" tint="-0.24997000396251678"/>
    <pageSetUpPr fitToPage="1"/>
  </sheetPr>
  <dimension ref="A1:CB103"/>
  <sheetViews>
    <sheetView zoomScale="80" zoomScaleNormal="80" zoomScalePageLayoutView="0" workbookViewId="0" topLeftCell="A1">
      <pane ySplit="4" topLeftCell="A5" activePane="bottomLeft" state="frozen"/>
      <selection pane="topLeft" activeCell="A1" sqref="A1"/>
      <selection pane="bottomLeft" activeCell="C2" sqref="C2:E2"/>
    </sheetView>
  </sheetViews>
  <sheetFormatPr defaultColWidth="9.140625" defaultRowHeight="12.75"/>
  <cols>
    <col min="1" max="1" width="9.7109375" style="1" customWidth="1"/>
    <col min="2" max="2" width="10.8515625" style="1" customWidth="1"/>
    <col min="3" max="5" width="9.140625" style="1" customWidth="1"/>
    <col min="6" max="6" width="10.8515625" style="3" customWidth="1"/>
    <col min="7" max="9" width="9.140625" style="1" customWidth="1"/>
    <col min="10" max="10" width="10.8515625" style="1" customWidth="1"/>
    <col min="11" max="12" width="9.140625" style="1" customWidth="1"/>
    <col min="13" max="13" width="9.7109375" style="1" customWidth="1"/>
    <col min="14" max="14" width="13.140625" style="1" customWidth="1"/>
    <col min="15" max="15" width="15.7109375" style="1" customWidth="1"/>
    <col min="16" max="16" width="6.7109375" style="1" customWidth="1"/>
    <col min="17" max="17" width="7.28125" style="1" customWidth="1"/>
    <col min="18" max="18" width="6.28125" style="211" customWidth="1"/>
    <col min="19" max="22" width="7.28125" style="210" hidden="1" customWidth="1"/>
    <col min="23" max="23" width="9.28125" style="1" customWidth="1"/>
    <col min="24" max="24" width="2.8515625" style="1" customWidth="1"/>
    <col min="25" max="25" width="45.7109375" style="1" customWidth="1"/>
    <col min="26" max="26" width="59.421875" style="1" customWidth="1"/>
    <col min="27" max="28" width="12.7109375" style="1" customWidth="1"/>
    <col min="29" max="30" width="5.8515625" style="1" customWidth="1"/>
    <col min="31" max="32" width="9.57421875" style="36" hidden="1" customWidth="1"/>
    <col min="33" max="33" width="9.57421875" style="67" customWidth="1"/>
    <col min="34" max="35" width="9.57421875" style="67" hidden="1" customWidth="1"/>
    <col min="36" max="36" width="34.7109375" style="67" customWidth="1"/>
    <col min="37" max="39" width="9.140625" style="124" hidden="1" customWidth="1"/>
    <col min="40" max="40" width="9.140625" style="315" customWidth="1"/>
    <col min="41" max="41" width="9.140625" style="37" hidden="1" customWidth="1"/>
    <col min="42" max="52" width="9.140625" style="36" hidden="1" customWidth="1"/>
    <col min="53" max="53" width="10.00390625" style="36" hidden="1" customWidth="1"/>
    <col min="54" max="79" width="9.140625" style="36" hidden="1" customWidth="1"/>
    <col min="80" max="80" width="9.140625" style="1" customWidth="1"/>
    <col min="81" max="16384" width="9.140625" style="1" customWidth="1"/>
  </cols>
  <sheetData>
    <row r="1" spans="1:79" ht="30" customHeight="1">
      <c r="A1" s="203" t="s">
        <v>73</v>
      </c>
      <c r="B1" s="203"/>
      <c r="C1" s="203"/>
      <c r="D1" s="203"/>
      <c r="E1" s="203"/>
      <c r="F1" s="203"/>
      <c r="G1" s="203"/>
      <c r="H1" s="203"/>
      <c r="I1" s="203"/>
      <c r="J1" s="203"/>
      <c r="K1" s="203"/>
      <c r="L1" s="203"/>
      <c r="M1" s="203"/>
      <c r="N1" s="203"/>
      <c r="O1" s="203"/>
      <c r="P1" s="203"/>
      <c r="Q1" s="203"/>
      <c r="R1" s="230"/>
      <c r="S1" s="311"/>
      <c r="T1" s="311"/>
      <c r="U1" s="311"/>
      <c r="V1" s="311"/>
      <c r="W1" s="203"/>
      <c r="X1" s="203"/>
      <c r="Y1" s="203"/>
      <c r="Z1" s="203"/>
      <c r="AD1" s="1" t="s">
        <v>161</v>
      </c>
      <c r="AE1" s="325" t="s">
        <v>152</v>
      </c>
      <c r="AG1" s="38" t="s">
        <v>2</v>
      </c>
      <c r="AH1" s="38" t="s">
        <v>154</v>
      </c>
      <c r="AI1" s="38" t="s">
        <v>4</v>
      </c>
      <c r="AJ1" s="191" t="s">
        <v>157</v>
      </c>
      <c r="AK1" s="248" t="s">
        <v>180</v>
      </c>
      <c r="AL1" s="248" t="s">
        <v>181</v>
      </c>
      <c r="AM1" s="157"/>
      <c r="AN1" s="191" t="s">
        <v>252</v>
      </c>
      <c r="AO1" s="353" t="s">
        <v>253</v>
      </c>
      <c r="BA1" s="334">
        <f>BQ12</f>
        <v>201309</v>
      </c>
      <c r="BB1" s="334">
        <f>BU12</f>
        <v>201401</v>
      </c>
      <c r="BC1" s="334">
        <f>BY12</f>
        <v>201405</v>
      </c>
      <c r="BD1" s="334">
        <f>BQ24</f>
        <v>201409</v>
      </c>
      <c r="BE1" s="334">
        <f>BU24</f>
        <v>201501</v>
      </c>
      <c r="BF1" s="334">
        <f>BY24</f>
        <v>201505</v>
      </c>
      <c r="BG1" s="334">
        <f>BQ36</f>
        <v>201509</v>
      </c>
      <c r="BH1" s="334">
        <f>BU36</f>
        <v>201601</v>
      </c>
      <c r="BI1" s="334">
        <f>BY36</f>
        <v>201605</v>
      </c>
      <c r="BJ1" s="334">
        <f>BQ48</f>
        <v>201609</v>
      </c>
      <c r="BK1" s="334">
        <f>BU48</f>
        <v>201701</v>
      </c>
      <c r="BL1" s="334">
        <f>BY48</f>
        <v>201705</v>
      </c>
      <c r="BM1" s="334">
        <f>BQ60</f>
        <v>201709</v>
      </c>
      <c r="BN1" s="334">
        <f>BU60</f>
        <v>201801</v>
      </c>
      <c r="BO1" s="334">
        <f>BY60</f>
        <v>201805</v>
      </c>
      <c r="BQ1" s="429" t="s">
        <v>178</v>
      </c>
      <c r="BR1" s="429"/>
      <c r="BS1" s="429"/>
      <c r="BT1" s="429"/>
      <c r="BU1" s="429"/>
      <c r="BV1" s="429"/>
      <c r="BW1" s="429"/>
      <c r="BX1" s="429"/>
      <c r="BY1" s="429"/>
      <c r="BZ1" s="429"/>
      <c r="CA1" s="429"/>
    </row>
    <row r="2" spans="1:79" ht="14.25" customHeight="1" thickBot="1">
      <c r="A2" s="453" t="s">
        <v>0</v>
      </c>
      <c r="B2" s="453"/>
      <c r="C2" s="437"/>
      <c r="D2" s="438"/>
      <c r="E2" s="439"/>
      <c r="G2" s="221" t="s">
        <v>268</v>
      </c>
      <c r="H2" s="260" t="s">
        <v>188</v>
      </c>
      <c r="N2" s="45"/>
      <c r="Q2" s="4"/>
      <c r="R2" s="213"/>
      <c r="S2" s="299"/>
      <c r="T2" s="299"/>
      <c r="U2" s="299"/>
      <c r="V2" s="299"/>
      <c r="W2" s="200" t="s">
        <v>191</v>
      </c>
      <c r="X2" s="451" t="s">
        <v>190</v>
      </c>
      <c r="Y2" s="451"/>
      <c r="Z2" s="451"/>
      <c r="AC2" s="40"/>
      <c r="AD2" s="1">
        <v>2</v>
      </c>
      <c r="AE2" s="320">
        <f aca="true" t="shared" si="0" ref="AE2:AE34">IF(AND(AK2,AL2&gt;999999),10101,AL2)</f>
        <v>2000000</v>
      </c>
      <c r="AG2" s="38" t="str">
        <f>W6</f>
        <v>EH 101</v>
      </c>
      <c r="AH2" s="328">
        <f>X6</f>
        <v>3</v>
      </c>
      <c r="AI2" s="320">
        <f>Q6</f>
        <v>0</v>
      </c>
      <c r="AJ2" s="294">
        <f>IF(AE2&gt;999999,"",AG2)</f>
      </c>
      <c r="AK2" s="158" t="b">
        <f>IF(OR(LEFT(Q6,1)="T",S6/X6&gt;=2),TRUE,FALSE)</f>
        <v>0</v>
      </c>
      <c r="AL2" s="320">
        <f>IF(P6&gt;0,P6*100,1000000)+IF(LEFT(O6,2)="Sp",1,IF(LEFT(O6,2)="Su",IF(AND(LEN(O6&gt;8),MID(O6,8,1)="2"),6,5),IF(LEFT(O6,2)="Fa",9,1000000)))</f>
        <v>2000000</v>
      </c>
      <c r="AM2" s="139"/>
      <c r="AN2" s="108"/>
      <c r="AO2" s="37" t="b">
        <f>AND(AE2&gt;999999,AE69&lt;999999)</f>
        <v>0</v>
      </c>
      <c r="AP2" s="37" t="s">
        <v>102</v>
      </c>
      <c r="AQ2" s="37" t="s">
        <v>102</v>
      </c>
      <c r="AR2" s="37" t="s">
        <v>105</v>
      </c>
      <c r="AS2" s="37" t="s">
        <v>102</v>
      </c>
      <c r="AT2" s="37" t="s">
        <v>102</v>
      </c>
      <c r="AU2" s="37" t="s">
        <v>106</v>
      </c>
      <c r="AV2" s="37" t="s">
        <v>106</v>
      </c>
      <c r="AW2" s="37" t="s">
        <v>108</v>
      </c>
      <c r="AX2" s="37" t="s">
        <v>110</v>
      </c>
      <c r="AY2" s="37"/>
      <c r="AZ2" s="37"/>
      <c r="BA2" s="335">
        <f ca="1">IF($AE2=BA$1,CELL("row",$AE2),"")</f>
      </c>
      <c r="BB2" s="335">
        <f aca="true" ca="1" t="shared" si="1" ref="BA2:BN9">IF($AE2=BB$1,CELL("row",$AE2),"")</f>
      </c>
      <c r="BC2" s="335">
        <f ca="1">IF(OR($AE2=BC$1,$AE2=BC$1+1),CELL("row",$AE2),"")</f>
      </c>
      <c r="BD2" s="335">
        <f ca="1" t="shared" si="1"/>
      </c>
      <c r="BE2" s="335">
        <f ca="1" t="shared" si="1"/>
      </c>
      <c r="BF2" s="335">
        <f ca="1">IF(OR($AE2=BF$1,$AE2=BF$1+1),CELL("row",$AE2),"")</f>
      </c>
      <c r="BG2" s="335">
        <f ca="1" t="shared" si="1"/>
      </c>
      <c r="BH2" s="335">
        <f ca="1" t="shared" si="1"/>
      </c>
      <c r="BI2" s="335">
        <f ca="1">IF(OR($AE2=BI$1,$AE2=BI$1+1),CELL("row",$AE2),"")</f>
      </c>
      <c r="BJ2" s="335">
        <f ca="1" t="shared" si="1"/>
      </c>
      <c r="BK2" s="335">
        <f ca="1" t="shared" si="1"/>
      </c>
      <c r="BL2" s="335">
        <f ca="1">IF(OR($AE2=BL$1,$AE2=BL$1+1),CELL("row",$AE2),"")</f>
      </c>
      <c r="BM2" s="335">
        <f ca="1" t="shared" si="1"/>
      </c>
      <c r="BN2" s="335">
        <f ca="1" t="shared" si="1"/>
      </c>
      <c r="BO2" s="335">
        <f ca="1">IF(OR($AE2=BO$1,$AE2=BO$1+1),CELL("row",$AE2),"")</f>
      </c>
      <c r="BQ2" s="429"/>
      <c r="BR2" s="429"/>
      <c r="BS2" s="429"/>
      <c r="BT2" s="429"/>
      <c r="BU2" s="429"/>
      <c r="BV2" s="429"/>
      <c r="BW2" s="429"/>
      <c r="BX2" s="429"/>
      <c r="BY2" s="429"/>
      <c r="BZ2" s="429"/>
      <c r="CA2" s="429"/>
    </row>
    <row r="3" spans="1:79" ht="14.25" customHeight="1" thickBot="1">
      <c r="A3" s="453" t="s">
        <v>1</v>
      </c>
      <c r="B3" s="453"/>
      <c r="C3" s="437"/>
      <c r="D3" s="438"/>
      <c r="E3" s="439"/>
      <c r="G3" s="204" t="s">
        <v>165</v>
      </c>
      <c r="H3" s="6" t="s">
        <v>72</v>
      </c>
      <c r="I3" s="3"/>
      <c r="N3" s="45"/>
      <c r="O3" s="452" t="s">
        <v>133</v>
      </c>
      <c r="P3" s="409" t="s">
        <v>134</v>
      </c>
      <c r="Q3" s="448" t="s">
        <v>4</v>
      </c>
      <c r="R3" s="449" t="s">
        <v>170</v>
      </c>
      <c r="S3" s="433" t="s">
        <v>138</v>
      </c>
      <c r="T3" s="433" t="s">
        <v>139</v>
      </c>
      <c r="U3" s="433" t="s">
        <v>168</v>
      </c>
      <c r="V3" s="433" t="s">
        <v>169</v>
      </c>
      <c r="W3" s="4"/>
      <c r="X3" s="451"/>
      <c r="Y3" s="451"/>
      <c r="Z3" s="451"/>
      <c r="AD3" s="1">
        <v>3</v>
      </c>
      <c r="AE3" s="320">
        <f t="shared" si="0"/>
        <v>2000000</v>
      </c>
      <c r="AG3" s="38" t="str">
        <f>W7</f>
        <v>EH 102</v>
      </c>
      <c r="AH3" s="328">
        <f>X7</f>
        <v>3</v>
      </c>
      <c r="AI3" s="320">
        <f>Q7</f>
        <v>0</v>
      </c>
      <c r="AJ3" s="294">
        <f>IF(AN3="y",AG3,IF(AE3=10101,AG3,IF(AE3&gt;999999,"",IF(AE3&gt;10000,IF(AE3&lt;=AE2,"PREREQ ERROR_EH101",AG3),AG3))))</f>
      </c>
      <c r="AK3" s="158" t="b">
        <f>IF(OR(LEFT(Q7,1)="T",S7/X7&gt;=2),TRUE,FALSE)</f>
        <v>0</v>
      </c>
      <c r="AL3" s="320">
        <f>IF(P7&gt;0,P7*100,1000000)+IF(LEFT(O7,2)="Sp",1,IF(LEFT(O7,2)="Su",IF(AND(LEN(O7&gt;8),MID(O7,8,1)="2"),6,5),IF(LEFT(O7,2)="Fa",9,1000000)))</f>
        <v>2000000</v>
      </c>
      <c r="AM3" s="139"/>
      <c r="AN3" s="77"/>
      <c r="AO3" s="37" t="b">
        <f>AND(AE3&gt;999999,AE69&lt;999999)</f>
        <v>0</v>
      </c>
      <c r="AP3" s="37" t="s">
        <v>105</v>
      </c>
      <c r="AQ3" s="37" t="s">
        <v>101</v>
      </c>
      <c r="AR3" s="37" t="s">
        <v>101</v>
      </c>
      <c r="AS3" s="37" t="s">
        <v>105</v>
      </c>
      <c r="AT3" s="37" t="s">
        <v>105</v>
      </c>
      <c r="AU3" s="37" t="s">
        <v>103</v>
      </c>
      <c r="AV3" s="37" t="s">
        <v>103</v>
      </c>
      <c r="AW3" s="37" t="s">
        <v>109</v>
      </c>
      <c r="AX3" s="37" t="s">
        <v>112</v>
      </c>
      <c r="AY3" s="37"/>
      <c r="AZ3" s="37"/>
      <c r="BA3" s="336">
        <f ca="1" t="shared" si="1"/>
      </c>
      <c r="BB3" s="336">
        <f ca="1" t="shared" si="1"/>
      </c>
      <c r="BC3" s="336">
        <f aca="true" ca="1" t="shared" si="2" ref="BC3:BC14">IF(OR($AE3=BC$1,$AE3=BC$1+1),CELL("row",$AE3),"")</f>
      </c>
      <c r="BD3" s="336">
        <f ca="1" t="shared" si="1"/>
      </c>
      <c r="BE3" s="336">
        <f ca="1" t="shared" si="1"/>
      </c>
      <c r="BF3" s="336">
        <f aca="true" ca="1" t="shared" si="3" ref="BF3:BF14">IF(OR($AE3=BF$1,$AE3=BF$1+1),CELL("row",$AE3),"")</f>
      </c>
      <c r="BG3" s="336">
        <f ca="1" t="shared" si="1"/>
      </c>
      <c r="BH3" s="336">
        <f ca="1" t="shared" si="1"/>
      </c>
      <c r="BI3" s="336">
        <f aca="true" ca="1" t="shared" si="4" ref="BI3:BI14">IF(OR($AE3=BI$1,$AE3=BI$1+1),CELL("row",$AE3),"")</f>
      </c>
      <c r="BJ3" s="336">
        <f ca="1" t="shared" si="1"/>
      </c>
      <c r="BK3" s="336">
        <f ca="1" t="shared" si="1"/>
      </c>
      <c r="BL3" s="336">
        <f aca="true" ca="1" t="shared" si="5" ref="BL3:BL14">IF(OR($AE3=BL$1,$AE3=BL$1+1),CELL("row",$AE3),"")</f>
      </c>
      <c r="BM3" s="336">
        <f ca="1" t="shared" si="1"/>
      </c>
      <c r="BN3" s="336">
        <f ca="1" t="shared" si="1"/>
      </c>
      <c r="BO3" s="336">
        <f aca="true" ca="1" t="shared" si="6" ref="BO3:BO14">IF(OR($AE3=BO$1,$AE3=BO$1+1),CELL("row",$AE3),"")</f>
      </c>
      <c r="BQ3" s="429"/>
      <c r="BR3" s="429"/>
      <c r="BS3" s="429"/>
      <c r="BT3" s="429"/>
      <c r="BU3" s="429"/>
      <c r="BV3" s="429"/>
      <c r="BW3" s="429"/>
      <c r="BX3" s="429"/>
      <c r="BY3" s="429"/>
      <c r="BZ3" s="429"/>
      <c r="CA3" s="429"/>
    </row>
    <row r="4" spans="1:79" ht="13.5" customHeight="1" thickBot="1">
      <c r="A4" s="213"/>
      <c r="B4" s="214"/>
      <c r="C4" s="443" t="s">
        <v>245</v>
      </c>
      <c r="D4" s="443"/>
      <c r="E4" s="443"/>
      <c r="F4" s="42">
        <f>COUNTIF(AJ2:AJ81,"=*error*")</f>
        <v>0</v>
      </c>
      <c r="G4" s="219" t="s">
        <v>164</v>
      </c>
      <c r="H4" s="212" t="s">
        <v>71</v>
      </c>
      <c r="I4" s="211"/>
      <c r="J4" s="211"/>
      <c r="K4" s="211"/>
      <c r="L4" s="211"/>
      <c r="M4" s="211"/>
      <c r="N4" s="351"/>
      <c r="O4" s="452"/>
      <c r="P4" s="410"/>
      <c r="Q4" s="448"/>
      <c r="R4" s="450"/>
      <c r="S4" s="434"/>
      <c r="T4" s="434"/>
      <c r="U4" s="434"/>
      <c r="V4" s="434"/>
      <c r="X4" s="411" t="s">
        <v>56</v>
      </c>
      <c r="Y4" s="411"/>
      <c r="Z4" s="454"/>
      <c r="AC4" s="224"/>
      <c r="AD4" s="1">
        <v>4</v>
      </c>
      <c r="AE4" s="320">
        <f t="shared" si="0"/>
        <v>2000000</v>
      </c>
      <c r="AG4" s="38" t="str">
        <f aca="true" t="shared" si="7" ref="AG4:AH8">W9</f>
        <v>MA 171</v>
      </c>
      <c r="AH4" s="329">
        <f t="shared" si="7"/>
        <v>4</v>
      </c>
      <c r="AI4" s="330">
        <f>Q9</f>
        <v>0</v>
      </c>
      <c r="AJ4" s="294">
        <f>IF(AN4="y",AG4,IF(AE4=10101,AG4,IF(AE4&gt;999999,"",IF(OR(AND(AE4&lt;=AE59,AE59&lt;999999),AND(AE4&lt;=AE60,AE60&lt;999999)),"PREREQ ERROR_MA 113 or 115",AG4))))</f>
      </c>
      <c r="AK4" s="295" t="b">
        <f>IF(OR(LEFT(Q9,1)="T",S9/X9&gt;=2),TRUE,FALSE)</f>
        <v>0</v>
      </c>
      <c r="AL4" s="330">
        <f>IF(P9&gt;0,P9*100,1000000)+IF(LEFT(O9,2)="Sp",1,IF(LEFT(O9,2)="Su",IF(AND(LEN(O9&gt;8),MID(O9,8,1)="2"),6,5),IF(LEFT(O9,2)="Fa",9,1000000)))</f>
        <v>2000000</v>
      </c>
      <c r="AM4" s="139"/>
      <c r="AN4" s="77"/>
      <c r="AS4" s="37" t="s">
        <v>101</v>
      </c>
      <c r="AT4" s="37" t="s">
        <v>131</v>
      </c>
      <c r="AU4" s="37" t="s">
        <v>107</v>
      </c>
      <c r="AV4" s="37" t="s">
        <v>107</v>
      </c>
      <c r="AW4" s="37" t="s">
        <v>111</v>
      </c>
      <c r="AX4" s="67"/>
      <c r="AY4" s="37"/>
      <c r="AZ4" s="37"/>
      <c r="BA4" s="336">
        <f ca="1" t="shared" si="1"/>
      </c>
      <c r="BB4" s="336">
        <f ca="1" t="shared" si="1"/>
      </c>
      <c r="BC4" s="336">
        <f ca="1" t="shared" si="2"/>
      </c>
      <c r="BD4" s="336">
        <f ca="1" t="shared" si="1"/>
      </c>
      <c r="BE4" s="336">
        <f ca="1" t="shared" si="1"/>
      </c>
      <c r="BF4" s="336">
        <f ca="1" t="shared" si="3"/>
      </c>
      <c r="BG4" s="336">
        <f ca="1" t="shared" si="1"/>
      </c>
      <c r="BH4" s="336">
        <f ca="1" t="shared" si="1"/>
      </c>
      <c r="BI4" s="336">
        <f ca="1" t="shared" si="4"/>
      </c>
      <c r="BJ4" s="336">
        <f ca="1" t="shared" si="1"/>
      </c>
      <c r="BK4" s="336">
        <f ca="1" t="shared" si="1"/>
      </c>
      <c r="BL4" s="336">
        <f ca="1" t="shared" si="5"/>
      </c>
      <c r="BM4" s="336">
        <f ca="1" t="shared" si="1"/>
      </c>
      <c r="BN4" s="336">
        <f ca="1" t="shared" si="1"/>
      </c>
      <c r="BO4" s="336">
        <f ca="1" t="shared" si="6"/>
      </c>
      <c r="BQ4" s="429"/>
      <c r="BR4" s="429"/>
      <c r="BS4" s="429"/>
      <c r="BT4" s="429"/>
      <c r="BU4" s="429"/>
      <c r="BV4" s="429"/>
      <c r="BW4" s="429"/>
      <c r="BX4" s="429"/>
      <c r="BY4" s="429"/>
      <c r="BZ4" s="429"/>
      <c r="CA4" s="429"/>
    </row>
    <row r="5" spans="1:79" ht="13.5" customHeight="1" thickBot="1">
      <c r="A5" s="435" t="s">
        <v>136</v>
      </c>
      <c r="B5" s="435"/>
      <c r="C5" s="435"/>
      <c r="D5" s="209" t="s">
        <v>102</v>
      </c>
      <c r="E5" s="208">
        <v>2014</v>
      </c>
      <c r="G5" s="125" t="str">
        <f>D5&amp;" "&amp;E5</f>
        <v>Spring 2014</v>
      </c>
      <c r="N5" s="45"/>
      <c r="O5" s="140" t="s">
        <v>5</v>
      </c>
      <c r="P5" s="141"/>
      <c r="Q5" s="141"/>
      <c r="R5" s="141"/>
      <c r="S5" s="304"/>
      <c r="T5" s="304"/>
      <c r="U5" s="304"/>
      <c r="V5" s="304"/>
      <c r="W5" s="141"/>
      <c r="X5" s="141"/>
      <c r="Y5" s="142"/>
      <c r="Z5" s="217" t="s">
        <v>55</v>
      </c>
      <c r="AD5" s="1">
        <v>5</v>
      </c>
      <c r="AE5" s="320">
        <f t="shared" si="0"/>
        <v>2000000</v>
      </c>
      <c r="AG5" s="38" t="str">
        <f t="shared" si="7"/>
        <v>MA 172</v>
      </c>
      <c r="AH5" s="328">
        <f t="shared" si="7"/>
        <v>4</v>
      </c>
      <c r="AI5" s="320">
        <f>Q10</f>
        <v>0</v>
      </c>
      <c r="AJ5" s="294">
        <f>IF(AN5="y",AG5,IF(AE5=10101,AG5,IF(AE5&gt;999999,"",IF(AE5&lt;=AE4,"PREREQ ERROR_MA 171",AG5))))</f>
      </c>
      <c r="AK5" s="158" t="b">
        <f>IF(OR(LEFT(Q10,1)="T",S10/X10&gt;=2),TRUE,FALSE)</f>
        <v>0</v>
      </c>
      <c r="AL5" s="39">
        <f>IF(P10&gt;0,P10*100,1000000)+IF(LEFT(O10,2)="Sp",1,IF(LEFT(O10,2)="Su",IF(AND(LEN(O10&gt;8),MID(O10,8,1)="2"),6,5),IF(LEFT(O10,2)="Fa",9,1000000)))</f>
        <v>2000000</v>
      </c>
      <c r="AM5" s="139"/>
      <c r="AN5" s="77"/>
      <c r="AQ5" s="67"/>
      <c r="AR5" s="67"/>
      <c r="AS5" s="67"/>
      <c r="AT5" s="68" t="s">
        <v>132</v>
      </c>
      <c r="AU5" s="37" t="s">
        <v>141</v>
      </c>
      <c r="AV5" s="67" t="s">
        <v>104</v>
      </c>
      <c r="AW5" s="68"/>
      <c r="AX5" s="67"/>
      <c r="AY5" s="68"/>
      <c r="AZ5" s="67"/>
      <c r="BA5" s="336">
        <f ca="1" t="shared" si="1"/>
      </c>
      <c r="BB5" s="336">
        <f ca="1" t="shared" si="1"/>
      </c>
      <c r="BC5" s="336">
        <f ca="1" t="shared" si="2"/>
      </c>
      <c r="BD5" s="336">
        <f ca="1" t="shared" si="1"/>
      </c>
      <c r="BE5" s="336">
        <f ca="1" t="shared" si="1"/>
      </c>
      <c r="BF5" s="336">
        <f ca="1" t="shared" si="3"/>
      </c>
      <c r="BG5" s="336">
        <f ca="1" t="shared" si="1"/>
      </c>
      <c r="BH5" s="336">
        <f ca="1" t="shared" si="1"/>
      </c>
      <c r="BI5" s="336">
        <f ca="1" t="shared" si="4"/>
      </c>
      <c r="BJ5" s="336">
        <f ca="1" t="shared" si="1"/>
      </c>
      <c r="BK5" s="336">
        <f ca="1" t="shared" si="1"/>
      </c>
      <c r="BL5" s="336">
        <f ca="1" t="shared" si="5"/>
      </c>
      <c r="BM5" s="336">
        <f ca="1" t="shared" si="1"/>
      </c>
      <c r="BN5" s="336">
        <f ca="1" t="shared" si="1"/>
      </c>
      <c r="BO5" s="336">
        <f ca="1" t="shared" si="6"/>
      </c>
      <c r="BQ5" s="429"/>
      <c r="BR5" s="429"/>
      <c r="BS5" s="429"/>
      <c r="BT5" s="429"/>
      <c r="BU5" s="429"/>
      <c r="BV5" s="429"/>
      <c r="BW5" s="429"/>
      <c r="BX5" s="429"/>
      <c r="BY5" s="429"/>
      <c r="BZ5" s="429"/>
      <c r="CA5" s="429"/>
    </row>
    <row r="6" spans="1:67" ht="13.5" customHeight="1">
      <c r="A6" s="210"/>
      <c r="B6" s="211"/>
      <c r="C6" s="211"/>
      <c r="D6" s="211"/>
      <c r="E6" s="211"/>
      <c r="F6" s="212"/>
      <c r="G6" s="211"/>
      <c r="H6" s="211"/>
      <c r="I6" s="211"/>
      <c r="J6" s="211"/>
      <c r="K6" s="211"/>
      <c r="L6" s="211"/>
      <c r="M6" s="35"/>
      <c r="N6" s="352"/>
      <c r="O6" s="84"/>
      <c r="P6" s="94"/>
      <c r="Q6" s="95"/>
      <c r="R6" s="236" t="s">
        <v>171</v>
      </c>
      <c r="S6" s="236">
        <f>IF(LEFT(Q6,1)="a",4,IF(LEFT(Q6,1)="b",3,IF(LEFT(Q6,1)="c",2,IF(LEFT(Q6,1)="d",1,0))))*X6</f>
        <v>0</v>
      </c>
      <c r="T6" s="236">
        <f>IF(OR(S6&gt;0,LEFT(Q6,1)="f"),X6,"")</f>
      </c>
      <c r="U6" s="236">
        <f>IF(R6="Y",S6,"")</f>
      </c>
      <c r="V6" s="236">
        <f>IF(AND(R6="Y",T6&gt;0),T6,"")</f>
      </c>
      <c r="W6" s="47" t="s">
        <v>88</v>
      </c>
      <c r="X6" s="48">
        <v>3</v>
      </c>
      <c r="Y6" s="49" t="s">
        <v>6</v>
      </c>
      <c r="Z6" s="16" t="s">
        <v>7</v>
      </c>
      <c r="AD6" s="1">
        <v>6</v>
      </c>
      <c r="AE6" s="320">
        <f t="shared" si="0"/>
        <v>2000000</v>
      </c>
      <c r="AG6" s="38" t="str">
        <f t="shared" si="7"/>
        <v>MA 201</v>
      </c>
      <c r="AH6" s="328">
        <f t="shared" si="7"/>
        <v>4</v>
      </c>
      <c r="AI6" s="320">
        <f>Q11</f>
        <v>0</v>
      </c>
      <c r="AJ6" s="294">
        <f>IF(AN6="y",AG6,IF(AE6=10101,AG6,IF(AE6&gt;999999,"",IF(AE6&lt;=AE5,"PREREQ ERROR_MA 172",AG6))))</f>
      </c>
      <c r="AK6" s="158" t="b">
        <f>IF(OR(LEFT(Q11,1)="T",S11/X11&gt;=2),TRUE,FALSE)</f>
        <v>0</v>
      </c>
      <c r="AL6" s="39">
        <f>IF(P11&gt;0,P11*100,1000000)+IF(LEFT(O11,2)="Sp",1,IF(LEFT(O11,2)="Su",IF(AND(LEN(O11&gt;8),MID(O11,8,1)="2"),6,5),IF(LEFT(O11,2)="Fa",9,1000000)))</f>
        <v>2000000</v>
      </c>
      <c r="AM6" s="139"/>
      <c r="AN6" s="77"/>
      <c r="AP6" s="37" t="s">
        <v>102</v>
      </c>
      <c r="AQ6" s="67"/>
      <c r="AR6" s="67"/>
      <c r="AS6" s="67"/>
      <c r="AT6" s="68" t="s">
        <v>101</v>
      </c>
      <c r="AU6" s="37" t="s">
        <v>140</v>
      </c>
      <c r="AV6" s="68" t="s">
        <v>209</v>
      </c>
      <c r="AW6" s="68" t="s">
        <v>113</v>
      </c>
      <c r="AX6" s="37" t="s">
        <v>36</v>
      </c>
      <c r="AY6" s="68"/>
      <c r="AZ6" s="67"/>
      <c r="BA6" s="336">
        <f ca="1" t="shared" si="1"/>
      </c>
      <c r="BB6" s="336">
        <f ca="1" t="shared" si="1"/>
      </c>
      <c r="BC6" s="336">
        <f ca="1" t="shared" si="2"/>
      </c>
      <c r="BD6" s="336">
        <f ca="1" t="shared" si="1"/>
      </c>
      <c r="BE6" s="336">
        <f ca="1" t="shared" si="1"/>
      </c>
      <c r="BF6" s="336">
        <f ca="1" t="shared" si="3"/>
      </c>
      <c r="BG6" s="336">
        <f ca="1" t="shared" si="1"/>
      </c>
      <c r="BH6" s="336">
        <f ca="1" t="shared" si="1"/>
      </c>
      <c r="BI6" s="336">
        <f ca="1" t="shared" si="4"/>
      </c>
      <c r="BJ6" s="336">
        <f ca="1" t="shared" si="1"/>
      </c>
      <c r="BK6" s="336">
        <f ca="1" t="shared" si="1"/>
      </c>
      <c r="BL6" s="336">
        <f ca="1" t="shared" si="5"/>
      </c>
      <c r="BM6" s="336">
        <f ca="1" t="shared" si="1"/>
      </c>
      <c r="BN6" s="336">
        <f ca="1" t="shared" si="1"/>
      </c>
      <c r="BO6" s="336">
        <f ca="1" t="shared" si="6"/>
      </c>
    </row>
    <row r="7" spans="2:67" ht="17.25" customHeight="1" thickBot="1">
      <c r="B7" s="198" t="s">
        <v>270</v>
      </c>
      <c r="C7" s="198"/>
      <c r="D7" s="198"/>
      <c r="E7" s="198"/>
      <c r="F7" s="198"/>
      <c r="G7" s="198"/>
      <c r="H7" s="198"/>
      <c r="I7" s="198"/>
      <c r="J7" s="198"/>
      <c r="K7" s="198"/>
      <c r="L7" s="198"/>
      <c r="N7" s="45"/>
      <c r="O7" s="79"/>
      <c r="P7" s="80"/>
      <c r="Q7" s="96"/>
      <c r="R7" s="237" t="s">
        <v>171</v>
      </c>
      <c r="S7" s="237">
        <f>IF(LEFT(Q7,1)="a",4,IF(LEFT(Q7,1)="b",3,IF(LEFT(Q7,1)="c",2,IF(LEFT(Q7,1)="d",1,0))))*X7</f>
        <v>0</v>
      </c>
      <c r="T7" s="237">
        <f>IF(OR(S7&gt;0,LEFT(Q7,1)="f"),X7,"")</f>
      </c>
      <c r="U7" s="237">
        <f aca="true" t="shared" si="8" ref="U7:U75">IF(R7="Y",S7,"")</f>
      </c>
      <c r="V7" s="237">
        <f aca="true" t="shared" si="9" ref="V7:V75">IF(AND(R7="Y",T7&gt;0),T7,"")</f>
      </c>
      <c r="W7" s="50" t="s">
        <v>89</v>
      </c>
      <c r="X7" s="8">
        <v>3</v>
      </c>
      <c r="Y7" s="29" t="s">
        <v>8</v>
      </c>
      <c r="Z7" s="17" t="s">
        <v>88</v>
      </c>
      <c r="AD7" s="1">
        <v>7</v>
      </c>
      <c r="AE7" s="320">
        <f t="shared" si="0"/>
        <v>2000000</v>
      </c>
      <c r="AG7" s="38" t="str">
        <f t="shared" si="7"/>
        <v>MA 238</v>
      </c>
      <c r="AH7" s="328">
        <f t="shared" si="7"/>
        <v>3</v>
      </c>
      <c r="AI7" s="320">
        <f>Q12</f>
        <v>0</v>
      </c>
      <c r="AJ7" s="294">
        <f>IF(AN7="y",AG7,IF(AE7=10101,AG7,IF(AE7&gt;999999,"",IF(AE7&lt;AE6,"PREREQ w/Con ERROR_MA 201",AG7))))</f>
      </c>
      <c r="AK7" s="158" t="b">
        <f>IF(OR(LEFT(Q12,1)="T",S12/X12&gt;=2),TRUE,FALSE)</f>
        <v>0</v>
      </c>
      <c r="AL7" s="39">
        <f>IF(P12&gt;0,P12*100,1000000)+IF(LEFT(O12,2)="Sp",1,IF(LEFT(O12,2)="Su",IF(AND(LEN(O12&gt;8),MID(O12,8,1)="2"),6,5),IF(LEFT(O12,2)="Fa",9,1000000)))</f>
        <v>2000000</v>
      </c>
      <c r="AM7" s="139"/>
      <c r="AN7" s="77"/>
      <c r="AU7" s="37" t="s">
        <v>142</v>
      </c>
      <c r="AV7" s="68" t="s">
        <v>261</v>
      </c>
      <c r="AW7" s="37" t="s">
        <v>247</v>
      </c>
      <c r="AX7" s="37" t="s">
        <v>248</v>
      </c>
      <c r="AY7" s="37"/>
      <c r="BA7" s="336">
        <f ca="1" t="shared" si="1"/>
      </c>
      <c r="BB7" s="336">
        <f ca="1" t="shared" si="1"/>
      </c>
      <c r="BC7" s="336">
        <f ca="1" t="shared" si="2"/>
      </c>
      <c r="BD7" s="336">
        <f ca="1" t="shared" si="1"/>
      </c>
      <c r="BE7" s="336">
        <f ca="1" t="shared" si="1"/>
      </c>
      <c r="BF7" s="336">
        <f ca="1" t="shared" si="3"/>
      </c>
      <c r="BG7" s="336">
        <f ca="1" t="shared" si="1"/>
      </c>
      <c r="BH7" s="336">
        <f ca="1" t="shared" si="1"/>
      </c>
      <c r="BI7" s="336">
        <f ca="1" t="shared" si="4"/>
      </c>
      <c r="BJ7" s="336">
        <f ca="1" t="shared" si="1"/>
      </c>
      <c r="BK7" s="336">
        <f ca="1" t="shared" si="1"/>
      </c>
      <c r="BL7" s="336">
        <f ca="1" t="shared" si="5"/>
      </c>
      <c r="BM7" s="336">
        <f ca="1" t="shared" si="1"/>
      </c>
      <c r="BN7" s="336">
        <f ca="1" t="shared" si="1"/>
      </c>
      <c r="BO7" s="336">
        <f ca="1" t="shared" si="6"/>
      </c>
    </row>
    <row r="8" spans="14:67" ht="13.5" customHeight="1" thickBot="1">
      <c r="N8" s="45"/>
      <c r="O8" s="143" t="s">
        <v>242</v>
      </c>
      <c r="P8" s="144"/>
      <c r="Q8" s="144"/>
      <c r="R8" s="144"/>
      <c r="S8" s="305"/>
      <c r="T8" s="305"/>
      <c r="U8" s="305"/>
      <c r="V8" s="305"/>
      <c r="W8" s="144"/>
      <c r="X8" s="144"/>
      <c r="Y8" s="145"/>
      <c r="Z8" s="362" t="s">
        <v>55</v>
      </c>
      <c r="AD8" s="1">
        <v>8</v>
      </c>
      <c r="AE8" s="320">
        <f t="shared" si="0"/>
        <v>2000000</v>
      </c>
      <c r="AG8" s="38" t="str">
        <f t="shared" si="7"/>
        <v>MA 244</v>
      </c>
      <c r="AH8" s="328">
        <f t="shared" si="7"/>
        <v>3</v>
      </c>
      <c r="AI8" s="320">
        <f>Q13</f>
        <v>0</v>
      </c>
      <c r="AJ8" s="294">
        <f>IF(AN8="y",AG8,IF(AE8=10101,AG8,IF(AE8&gt;999999,"",IF(AE8&lt;=AE5,"PREREQ ERROR_MA 172",AG8))))</f>
      </c>
      <c r="AK8" s="158" t="b">
        <f>IF(OR(LEFT(Q13,1)="T",S13/X13&gt;=2),TRUE,FALSE)</f>
        <v>0</v>
      </c>
      <c r="AL8" s="39">
        <f>IF(P13&gt;0,P13*100,1000000)+IF(LEFT(O13,2)="Sp",1,IF(LEFT(O13,2)="Su",IF(AND(LEN(O13&gt;8),MID(O13,8,1)="2"),6,5),IF(LEFT(O13,2)="Fa",9,1000000)))</f>
        <v>2000000</v>
      </c>
      <c r="AM8" s="139"/>
      <c r="AN8" s="77"/>
      <c r="AO8" s="45" t="b">
        <f>AND(AE8&gt;999999,AE29&lt;999999)</f>
        <v>0</v>
      </c>
      <c r="AP8" s="37" t="s">
        <v>105</v>
      </c>
      <c r="AU8" s="37" t="s">
        <v>143</v>
      </c>
      <c r="AV8" s="37" t="s">
        <v>141</v>
      </c>
      <c r="AW8" s="37"/>
      <c r="AY8" s="37"/>
      <c r="BA8" s="336">
        <f ca="1" t="shared" si="1"/>
      </c>
      <c r="BB8" s="336">
        <f ca="1" t="shared" si="1"/>
      </c>
      <c r="BC8" s="336">
        <f ca="1" t="shared" si="2"/>
      </c>
      <c r="BD8" s="336">
        <f ca="1" t="shared" si="1"/>
      </c>
      <c r="BE8" s="336">
        <f ca="1" t="shared" si="1"/>
      </c>
      <c r="BF8" s="336">
        <f ca="1" t="shared" si="3"/>
      </c>
      <c r="BG8" s="336">
        <f ca="1" t="shared" si="1"/>
      </c>
      <c r="BH8" s="336">
        <f ca="1" t="shared" si="1"/>
      </c>
      <c r="BI8" s="336">
        <f ca="1" t="shared" si="4"/>
      </c>
      <c r="BJ8" s="336">
        <f ca="1" t="shared" si="1"/>
      </c>
      <c r="BK8" s="336">
        <f ca="1" t="shared" si="1"/>
      </c>
      <c r="BL8" s="336">
        <f ca="1" t="shared" si="5"/>
      </c>
      <c r="BM8" s="336">
        <f ca="1" t="shared" si="1"/>
      </c>
      <c r="BN8" s="336">
        <f ca="1" t="shared" si="1"/>
      </c>
      <c r="BO8" s="336">
        <f ca="1" t="shared" si="6"/>
      </c>
    </row>
    <row r="9" spans="1:77" ht="13.5" customHeight="1">
      <c r="A9" s="192"/>
      <c r="B9" s="192" t="s">
        <v>120</v>
      </c>
      <c r="C9" s="201" t="s">
        <v>162</v>
      </c>
      <c r="D9" s="202"/>
      <c r="E9" s="202"/>
      <c r="F9" s="202"/>
      <c r="G9" s="202"/>
      <c r="N9" s="45"/>
      <c r="O9" s="84"/>
      <c r="P9" s="85"/>
      <c r="Q9" s="95"/>
      <c r="R9" s="236" t="s">
        <v>171</v>
      </c>
      <c r="S9" s="236">
        <f>IF(LEFT(Q9,1)="a",4,IF(LEFT(Q9,1)="b",3,IF(LEFT(Q9,1)="c",2,IF(LEFT(Q9,1)="d",1,0))))*X9</f>
        <v>0</v>
      </c>
      <c r="T9" s="236">
        <f aca="true" t="shared" si="10" ref="T9:T75">IF(OR(S9&gt;0,LEFT(Q9,1)="f"),X9,"")</f>
      </c>
      <c r="U9" s="236">
        <f t="shared" si="8"/>
      </c>
      <c r="V9" s="236">
        <f t="shared" si="9"/>
      </c>
      <c r="W9" s="47" t="s">
        <v>90</v>
      </c>
      <c r="X9" s="48">
        <v>4</v>
      </c>
      <c r="Y9" s="49" t="s">
        <v>9</v>
      </c>
      <c r="Z9" s="363" t="s">
        <v>284</v>
      </c>
      <c r="AD9" s="1">
        <v>9</v>
      </c>
      <c r="AE9" s="320">
        <f t="shared" si="0"/>
        <v>2000000</v>
      </c>
      <c r="AG9" s="38" t="str">
        <f>W15</f>
        <v>CH 121</v>
      </c>
      <c r="AH9" s="329">
        <f>X15</f>
        <v>3</v>
      </c>
      <c r="AI9" s="330">
        <f>Q15</f>
        <v>0</v>
      </c>
      <c r="AJ9" s="294">
        <f>IF(AN9="y",AG9,IF(AE9=10101,AG9,IF(AE9&gt;999999,"",IF(OR(AND(AE4&lt;=AE59,AE59&lt;999999),AND(AE4&lt;=AE60,AE60&lt;999999)),"PREREQ ERROR_MA 113 or 115",IF(AE9&lt;AE4,"PREREQ w/Con ERROR_MA 171",IF(AND(AE9&lt;=AE61,AE61&lt;999999),"PREREQ ERROR_CH 101",IF(AE9&lt;&gt;AE10,"COREQ ERROR_CH 125",AG9)))))))</f>
      </c>
      <c r="AK9" s="295" t="b">
        <f>IF(OR(LEFT(Q15,1)="T",S15/X15&gt;=2),TRUE,FALSE)</f>
        <v>0</v>
      </c>
      <c r="AL9" s="330">
        <f>IF(P15&gt;0,P15*100,1000000)+IF(LEFT(O15,2)="Sp",1,IF(LEFT(O15,2)="Su",IF(AND(LEN(O15&gt;8),MID(O15,8,1)="2"),6,5),IF(LEFT(O15,2)="Fa",9,1000000)))</f>
        <v>2000000</v>
      </c>
      <c r="AM9" s="139"/>
      <c r="AN9" s="77"/>
      <c r="AP9" s="67"/>
      <c r="AV9" s="37" t="s">
        <v>140</v>
      </c>
      <c r="AW9" s="37" t="s">
        <v>25</v>
      </c>
      <c r="AY9" s="37"/>
      <c r="BA9" s="336">
        <f ca="1" t="shared" si="1"/>
      </c>
      <c r="BB9" s="336">
        <f ca="1" t="shared" si="1"/>
      </c>
      <c r="BC9" s="336">
        <f ca="1" t="shared" si="2"/>
      </c>
      <c r="BD9" s="336">
        <f ca="1" t="shared" si="1"/>
      </c>
      <c r="BE9" s="336">
        <f ca="1" t="shared" si="1"/>
      </c>
      <c r="BF9" s="336">
        <f ca="1" t="shared" si="3"/>
      </c>
      <c r="BG9" s="336">
        <f ca="1" t="shared" si="1"/>
      </c>
      <c r="BH9" s="336">
        <f ca="1" t="shared" si="1"/>
      </c>
      <c r="BI9" s="336">
        <f ca="1" t="shared" si="4"/>
      </c>
      <c r="BJ9" s="336">
        <f ca="1" t="shared" si="1"/>
      </c>
      <c r="BK9" s="336">
        <f ca="1" t="shared" si="1"/>
      </c>
      <c r="BL9" s="336">
        <f ca="1" t="shared" si="5"/>
      </c>
      <c r="BM9" s="336">
        <f ca="1" t="shared" si="1"/>
      </c>
      <c r="BN9" s="336">
        <f ca="1" t="shared" si="1"/>
      </c>
      <c r="BO9" s="336">
        <f ca="1" t="shared" si="6"/>
      </c>
      <c r="BQ9" s="319"/>
      <c r="BS9" s="319"/>
      <c r="BT9" s="319"/>
      <c r="BU9" s="319"/>
      <c r="BV9" s="319"/>
      <c r="BW9" s="319"/>
      <c r="BX9" s="319"/>
      <c r="BY9" s="319"/>
    </row>
    <row r="10" spans="13:80" ht="13.5" customHeight="1" thickBot="1">
      <c r="M10" s="35"/>
      <c r="N10" s="352"/>
      <c r="O10" s="69"/>
      <c r="P10" s="78"/>
      <c r="Q10" s="97"/>
      <c r="R10" s="238" t="s">
        <v>171</v>
      </c>
      <c r="S10" s="238">
        <f>IF(LEFT(Q10,1)="a",4,IF(LEFT(Q10,1)="b",3,IF(LEFT(Q10,1)="c",2,IF(LEFT(Q10,1)="d",1,0))))*X10</f>
        <v>0</v>
      </c>
      <c r="T10" s="238">
        <f t="shared" si="10"/>
      </c>
      <c r="U10" s="238">
        <f t="shared" si="8"/>
      </c>
      <c r="V10" s="238">
        <f t="shared" si="9"/>
      </c>
      <c r="W10" s="51" t="s">
        <v>91</v>
      </c>
      <c r="X10" s="7">
        <v>4</v>
      </c>
      <c r="Y10" s="9" t="s">
        <v>10</v>
      </c>
      <c r="Z10" s="16" t="s">
        <v>90</v>
      </c>
      <c r="AD10" s="1">
        <v>10</v>
      </c>
      <c r="AE10" s="320">
        <f t="shared" si="0"/>
        <v>2000000</v>
      </c>
      <c r="AG10" s="38" t="str">
        <f>W16</f>
        <v>CH 125</v>
      </c>
      <c r="AH10" s="328">
        <f>X16</f>
        <v>1</v>
      </c>
      <c r="AI10" s="320">
        <f>Q16</f>
        <v>0</v>
      </c>
      <c r="AJ10" s="294">
        <f>IF(AN10="y",AG10,IF(AE10=10101,AG10,IF(AE10&gt;999999,"",IF(AE10&lt;&gt;AE9,"COREQ ERROR_CH 121",AG10))))</f>
      </c>
      <c r="AK10" s="158" t="b">
        <f>IF(OR(LEFT(Q16,1)="T",S16/X16&gt;=2),TRUE,FALSE)</f>
        <v>0</v>
      </c>
      <c r="AL10" s="39">
        <f>IF(P16&gt;0,P16*100,1000000)+IF(LEFT(O16,2)="Sp",1,IF(LEFT(O16,2)="Su",IF(AND(LEN(O16&gt;8),MID(O16,8,1)="2"),6,5),IF(LEFT(O16,2)="Fa",9,1000000)))</f>
        <v>2000000</v>
      </c>
      <c r="AM10" s="139"/>
      <c r="AN10" s="77"/>
      <c r="AP10" s="68" t="s">
        <v>101</v>
      </c>
      <c r="AV10" s="37" t="s">
        <v>142</v>
      </c>
      <c r="AW10" s="37" t="s">
        <v>249</v>
      </c>
      <c r="AY10" s="37"/>
      <c r="BA10" s="336">
        <f aca="true" ca="1" t="shared" si="11" ref="BA10:BN13">IF($AE10=BA$1,CELL("row",$AE10),"")</f>
      </c>
      <c r="BB10" s="336">
        <f ca="1" t="shared" si="11"/>
      </c>
      <c r="BC10" s="336">
        <f ca="1" t="shared" si="2"/>
      </c>
      <c r="BD10" s="336">
        <f ca="1" t="shared" si="11"/>
      </c>
      <c r="BE10" s="336">
        <f ca="1" t="shared" si="11"/>
      </c>
      <c r="BF10" s="336">
        <f ca="1" t="shared" si="3"/>
      </c>
      <c r="BG10" s="336">
        <f ca="1" t="shared" si="11"/>
      </c>
      <c r="BH10" s="336">
        <f ca="1" t="shared" si="11"/>
      </c>
      <c r="BI10" s="336">
        <f ca="1" t="shared" si="4"/>
      </c>
      <c r="BJ10" s="336">
        <f ca="1" t="shared" si="11"/>
      </c>
      <c r="BK10" s="336">
        <f ca="1" t="shared" si="11"/>
      </c>
      <c r="BL10" s="336">
        <f ca="1" t="shared" si="5"/>
      </c>
      <c r="BM10" s="336">
        <f ca="1" t="shared" si="11"/>
      </c>
      <c r="BN10" s="336">
        <f ca="1" t="shared" si="11"/>
      </c>
      <c r="BO10" s="336">
        <f ca="1" t="shared" si="6"/>
      </c>
      <c r="BQ10" s="319"/>
      <c r="BS10" s="319"/>
      <c r="BT10" s="319"/>
      <c r="BU10" s="319"/>
      <c r="BV10" s="319"/>
      <c r="BW10" s="319"/>
      <c r="BX10" s="319"/>
      <c r="BY10" s="319"/>
      <c r="CB10" s="35"/>
    </row>
    <row r="11" spans="2:67" ht="12.75" customHeight="1" thickBot="1">
      <c r="B11" s="400" t="str">
        <f>IF(D5="Fall",D5&amp;" "&amp;E5,IF(D5="Spring","Fall"&amp;" "&amp;E5-1,IF(D5="Summer","Fall"&amp;" "&amp;E5-1," ")))</f>
        <v>Fall 2013</v>
      </c>
      <c r="C11" s="401"/>
      <c r="D11" s="402"/>
      <c r="E11" s="156">
        <f>IF(LEFT(B11,2)="Sp",1,IF(LEFT(B11,2)="Su",5,9))+VALUE(RIGHT(B11,4))*100</f>
        <v>201309</v>
      </c>
      <c r="F11" s="403" t="str">
        <f>IF(D5="Spring",D5&amp;" "&amp;E5,IF(D5="Fall","Spring"&amp;" "&amp;E5+1,IF(D5="Summer","Spring"&amp;" "&amp;E5," ")))</f>
        <v>Spring 2014</v>
      </c>
      <c r="G11" s="404"/>
      <c r="H11" s="405"/>
      <c r="I11" s="156">
        <f>IF(LEFT(F11,2)="Sp",1,IF(LEFT(F11,2)="Su",5,9))+VALUE(RIGHT(F11,4))*100</f>
        <v>201401</v>
      </c>
      <c r="J11" s="403" t="str">
        <f>IF(D5="Summer",D5&amp;" "&amp;E5,IF(D5="Fall","Summer"&amp;" "&amp;E5+1,IF(D5="Spring","Summer"&amp;" "&amp;E5)))</f>
        <v>Summer 2014</v>
      </c>
      <c r="K11" s="404"/>
      <c r="L11" s="405"/>
      <c r="M11" s="156">
        <f>IF(LEFT(J11,2)="Sp",1,IF(LEFT(J11,2)="Su",5,9))+VALUE(RIGHT(J11,4))*100</f>
        <v>201405</v>
      </c>
      <c r="N11" s="45"/>
      <c r="O11" s="69"/>
      <c r="P11" s="78"/>
      <c r="Q11" s="97"/>
      <c r="R11" s="238" t="s">
        <v>171</v>
      </c>
      <c r="S11" s="238">
        <f>IF(LEFT(Q11,1)="a",4,IF(LEFT(Q11,1)="b",3,IF(LEFT(Q11,1)="c",2,IF(LEFT(Q11,1)="d",1,0))))*X11</f>
        <v>0</v>
      </c>
      <c r="T11" s="238">
        <f t="shared" si="10"/>
      </c>
      <c r="U11" s="238">
        <f t="shared" si="8"/>
      </c>
      <c r="V11" s="238">
        <f t="shared" si="9"/>
      </c>
      <c r="W11" s="51" t="s">
        <v>92</v>
      </c>
      <c r="X11" s="7">
        <v>4</v>
      </c>
      <c r="Y11" s="9" t="s">
        <v>11</v>
      </c>
      <c r="Z11" s="16" t="s">
        <v>91</v>
      </c>
      <c r="AD11" s="1">
        <v>11</v>
      </c>
      <c r="AE11" s="320">
        <f t="shared" si="0"/>
        <v>2000000</v>
      </c>
      <c r="AG11" s="38" t="str">
        <f aca="true" t="shared" si="12" ref="AG11:AH14">W18</f>
        <v>PH 111</v>
      </c>
      <c r="AH11" s="329">
        <f t="shared" si="12"/>
        <v>3</v>
      </c>
      <c r="AI11" s="330">
        <f>Q18</f>
        <v>0</v>
      </c>
      <c r="AJ11" s="294">
        <f>IF(AN11="y",AG11,IF(AE11=10101,AG11,IF(AE11&gt;999999,"",IF(AE11&lt;=AE4,"PREREQ ERROR_MA 171",AG11))))</f>
      </c>
      <c r="AK11" s="295" t="b">
        <f>IF(OR(LEFT(Q18,1)="T",S18/X18&gt;=2),TRUE,FALSE)</f>
        <v>0</v>
      </c>
      <c r="AL11" s="330">
        <f>IF(P18&gt;0,P18*100,1000000)+IF(LEFT(O18,2)="Sp",1,IF(LEFT(O18,2)="Su",IF(AND(LEN(O18&gt;8),MID(O18,8,1)="2"),6,5),IF(LEFT(O18,2)="Fa",9,1000000)))</f>
        <v>2000000</v>
      </c>
      <c r="AM11" s="139"/>
      <c r="AN11" s="108"/>
      <c r="AV11" s="37" t="s">
        <v>143</v>
      </c>
      <c r="BA11" s="336">
        <f ca="1" t="shared" si="11"/>
      </c>
      <c r="BB11" s="336">
        <f ca="1" t="shared" si="11"/>
      </c>
      <c r="BC11" s="336">
        <f ca="1" t="shared" si="2"/>
      </c>
      <c r="BD11" s="336">
        <f ca="1" t="shared" si="11"/>
      </c>
      <c r="BE11" s="336">
        <f ca="1" t="shared" si="11"/>
      </c>
      <c r="BF11" s="336">
        <f ca="1" t="shared" si="3"/>
      </c>
      <c r="BG11" s="336">
        <f ca="1" t="shared" si="11"/>
      </c>
      <c r="BH11" s="336">
        <f ca="1" t="shared" si="11"/>
      </c>
      <c r="BI11" s="336">
        <f ca="1" t="shared" si="4"/>
      </c>
      <c r="BJ11" s="336">
        <f ca="1" t="shared" si="11"/>
      </c>
      <c r="BK11" s="336">
        <f ca="1" t="shared" si="11"/>
      </c>
      <c r="BL11" s="336">
        <f ca="1" t="shared" si="5"/>
      </c>
      <c r="BM11" s="336">
        <f ca="1" t="shared" si="11"/>
      </c>
      <c r="BN11" s="336">
        <f ca="1" t="shared" si="11"/>
      </c>
      <c r="BO11" s="336">
        <f ca="1" t="shared" si="6"/>
      </c>
    </row>
    <row r="12" spans="2:79" ht="12.75" customHeight="1">
      <c r="B12" s="134" t="s">
        <v>2</v>
      </c>
      <c r="C12" s="132" t="s">
        <v>3</v>
      </c>
      <c r="D12" s="133" t="s">
        <v>4</v>
      </c>
      <c r="E12" s="156"/>
      <c r="F12" s="131" t="s">
        <v>2</v>
      </c>
      <c r="G12" s="132" t="s">
        <v>3</v>
      </c>
      <c r="H12" s="133" t="s">
        <v>4</v>
      </c>
      <c r="I12" s="156"/>
      <c r="J12" s="131" t="s">
        <v>2</v>
      </c>
      <c r="K12" s="132" t="s">
        <v>3</v>
      </c>
      <c r="L12" s="133" t="s">
        <v>4</v>
      </c>
      <c r="M12" s="156"/>
      <c r="N12" s="45"/>
      <c r="O12" s="127"/>
      <c r="P12" s="279"/>
      <c r="Q12" s="228"/>
      <c r="R12" s="239" t="s">
        <v>171</v>
      </c>
      <c r="S12" s="239">
        <f>IF(LEFT(Q12,1)="a",4,IF(LEFT(Q12,1)="b",3,IF(LEFT(Q12,1)="c",2,IF(LEFT(Q12,1)="d",1,0))))*X12</f>
        <v>0</v>
      </c>
      <c r="T12" s="239">
        <f t="shared" si="10"/>
      </c>
      <c r="U12" s="239">
        <f t="shared" si="8"/>
      </c>
      <c r="V12" s="239">
        <f t="shared" si="9"/>
      </c>
      <c r="W12" s="280" t="s">
        <v>93</v>
      </c>
      <c r="X12" s="53">
        <v>3</v>
      </c>
      <c r="Y12" s="54" t="s">
        <v>12</v>
      </c>
      <c r="Z12" s="281" t="s">
        <v>285</v>
      </c>
      <c r="AD12" s="1">
        <v>12</v>
      </c>
      <c r="AE12" s="320">
        <f t="shared" si="0"/>
        <v>2000000</v>
      </c>
      <c r="AG12" s="38" t="str">
        <f t="shared" si="12"/>
        <v>PH 114</v>
      </c>
      <c r="AH12" s="328">
        <f t="shared" si="12"/>
        <v>1</v>
      </c>
      <c r="AI12" s="320">
        <f>Q19</f>
        <v>0</v>
      </c>
      <c r="AJ12" s="294">
        <f>IF(AN12="y",AG12,IF(AE12=10101,AG12,IF(AE12&gt;999999,"",IF(AE12&lt;&gt;AE11,"COREQ ERROR_PH 111",AG12))))</f>
      </c>
      <c r="AK12" s="158" t="b">
        <f>IF(OR(LEFT(Q19,1)="T",S19/X19&gt;=2),TRUE,FALSE)</f>
        <v>0</v>
      </c>
      <c r="AL12" s="39">
        <f>IF(P19&gt;0,P19*100,1000000)+IF(LEFT(O19,2)="Sp",1,IF(LEFT(O19,2)="Su",IF(AND(LEN(O19&gt;8),MID(O19,8,1)="2"),6,5),IF(LEFT(O19,2)="Fa",9,1000000)))</f>
        <v>2000000</v>
      </c>
      <c r="AM12" s="139"/>
      <c r="AN12" s="77"/>
      <c r="BA12" s="336">
        <f ca="1" t="shared" si="11"/>
      </c>
      <c r="BB12" s="336">
        <f ca="1" t="shared" si="11"/>
      </c>
      <c r="BC12" s="336">
        <f ca="1" t="shared" si="2"/>
      </c>
      <c r="BD12" s="336">
        <f ca="1" t="shared" si="11"/>
      </c>
      <c r="BE12" s="336">
        <f ca="1" t="shared" si="11"/>
      </c>
      <c r="BF12" s="336">
        <f ca="1" t="shared" si="3"/>
      </c>
      <c r="BG12" s="336">
        <f ca="1" t="shared" si="11"/>
      </c>
      <c r="BH12" s="336">
        <f ca="1" t="shared" si="11"/>
      </c>
      <c r="BI12" s="336">
        <f ca="1" t="shared" si="4"/>
      </c>
      <c r="BJ12" s="336">
        <f ca="1" t="shared" si="11"/>
      </c>
      <c r="BK12" s="336">
        <f ca="1" t="shared" si="11"/>
      </c>
      <c r="BL12" s="336">
        <f ca="1" t="shared" si="5"/>
      </c>
      <c r="BM12" s="336">
        <f ca="1" t="shared" si="11"/>
      </c>
      <c r="BN12" s="336">
        <f ca="1" t="shared" si="11"/>
      </c>
      <c r="BO12" s="336">
        <f ca="1" t="shared" si="6"/>
      </c>
      <c r="BQ12" s="337">
        <f>E11</f>
        <v>201309</v>
      </c>
      <c r="BR12" s="338"/>
      <c r="BS12" s="339"/>
      <c r="BU12" s="337">
        <f>I11</f>
        <v>201401</v>
      </c>
      <c r="BV12" s="338"/>
      <c r="BW12" s="339"/>
      <c r="BY12" s="337">
        <f>M11</f>
        <v>201405</v>
      </c>
      <c r="BZ12" s="338"/>
      <c r="CA12" s="339"/>
    </row>
    <row r="13" spans="2:80" ht="12.75" customHeight="1" thickBot="1">
      <c r="B13" s="130">
        <f aca="true" t="shared" si="13" ref="B13:B19">IF(BR14=BS14,BR14,"Error "&amp;BQ14)</f>
      </c>
      <c r="C13" s="39">
        <f aca="true" t="shared" si="14" ref="C13:C19">IF(BQ14&gt;0,INDEX(MECourses,BQ14,2),"")</f>
      </c>
      <c r="D13" s="43">
        <f aca="true" t="shared" si="15" ref="D13:D19">IF(BQ14&gt;0,INDEX(MECourses,BQ14,3),"")</f>
      </c>
      <c r="E13" s="153">
        <f>IF(LEFT(D13,1)="a",4*C13,IF(LEFT(D13,1)="b",3*C13,IF(LEFT(D13,1)="c",2*C13,IF(LEFT(D13,1)="d",C13,IF(LEFT(D13,1)="f",0,"")))))</f>
      </c>
      <c r="F13" s="130">
        <f aca="true" t="shared" si="16" ref="F13:F19">IF(BV14=BW14,BV14,"Error "&amp;BU14)</f>
      </c>
      <c r="G13" s="39">
        <f aca="true" t="shared" si="17" ref="G13:G19">IF(BU14&gt;0,INDEX(MECourses,BU14,2),"")</f>
      </c>
      <c r="H13" s="43">
        <f aca="true" t="shared" si="18" ref="H13:H19">IF(BU14&gt;0,INDEX(MECourses,BU14,3),"")</f>
      </c>
      <c r="I13" s="153">
        <f>IF(LEFT(H13,1)="a",4*G13,IF(LEFT(H13,1)="b",3*G13,IF(LEFT(H13,1)="c",2*G13,IF(LEFT(H13,1)="d",G13,IF(LEFT(H13,1)="f",0,"")))))</f>
      </c>
      <c r="J13" s="130">
        <f aca="true" t="shared" si="19" ref="J13:J19">IF(BZ14=CA14,BZ14,"Error "&amp;BY14)</f>
      </c>
      <c r="K13" s="39">
        <f aca="true" t="shared" si="20" ref="K13:K19">IF(BY14&gt;0,INDEX(MECourses,BY14,2),"")</f>
      </c>
      <c r="L13" s="43">
        <f aca="true" t="shared" si="21" ref="L13:L19">IF(BY14&gt;0,INDEX(MECourses,BY14,3),"")</f>
      </c>
      <c r="M13" s="153">
        <f>IF(LEFT(L13,1)="a",4*K13,IF(LEFT(L13,1)="b",3*K13,IF(LEFT(L13,1)="c",2*K13,IF(LEFT(L13,1)="d",K13,IF(LEFT(L13,1)="f",0,"")))))</f>
      </c>
      <c r="O13" s="79"/>
      <c r="P13" s="80"/>
      <c r="Q13" s="96"/>
      <c r="R13" s="237" t="s">
        <v>171</v>
      </c>
      <c r="S13" s="237">
        <f>IF(LEFT(Q13,1)="a",4,IF(LEFT(Q13,1)="b",3,IF(LEFT(Q13,1)="c",2,IF(LEFT(Q13,1)="d",1,0))))*X13</f>
        <v>0</v>
      </c>
      <c r="T13" s="237">
        <f>IF(OR(S13&gt;0,LEFT(Q13,1)="f"),X13,"")</f>
      </c>
      <c r="U13" s="237">
        <f>IF(R13="Y",S13,"")</f>
      </c>
      <c r="V13" s="237">
        <f>IF(AND(R13="Y",T13&gt;0),T13,"")</f>
      </c>
      <c r="W13" s="50" t="s">
        <v>151</v>
      </c>
      <c r="X13" s="8">
        <v>3</v>
      </c>
      <c r="Y13" s="30" t="s">
        <v>215</v>
      </c>
      <c r="Z13" s="17" t="s">
        <v>91</v>
      </c>
      <c r="AD13" s="1">
        <v>13</v>
      </c>
      <c r="AE13" s="320">
        <f t="shared" si="0"/>
        <v>2000000</v>
      </c>
      <c r="AG13" s="38" t="str">
        <f t="shared" si="12"/>
        <v>PH 112</v>
      </c>
      <c r="AH13" s="328">
        <f t="shared" si="12"/>
        <v>3</v>
      </c>
      <c r="AI13" s="320">
        <f>Q20</f>
        <v>0</v>
      </c>
      <c r="AJ13" s="294">
        <f>IF(AN13="y",AG13,IF(AE13=10101,AG13,IF(AE13&gt;999999,"",IF(AE13&lt;=AE5,"PREREQ ERROR_MA 172",IF(AE13&lt;=AE11,"PREREQ ERROR_PH 111",IF(AE13&lt;&gt;AE14,"COREQ ERROR_PH 115",AG13))))))</f>
      </c>
      <c r="AK13" s="158" t="b">
        <f>IF(OR(LEFT(Q20,1)="T",S20/X20&gt;=2),TRUE,FALSE)</f>
        <v>0</v>
      </c>
      <c r="AL13" s="39">
        <f>IF(P20&gt;0,P20*100,1000000)+IF(LEFT(O20,2)="Sp",1,IF(LEFT(O20,2)="Su",IF(AND(LEN(O20&gt;8),MID(O20,8,1)="2"),6,5),IF(LEFT(O20,2)="Fa",9,1000000)))</f>
        <v>2000000</v>
      </c>
      <c r="AM13" s="139"/>
      <c r="AN13" s="108"/>
      <c r="AP13" s="37" t="s">
        <v>174</v>
      </c>
      <c r="AU13" s="37" t="s">
        <v>106</v>
      </c>
      <c r="AV13" s="37" t="s">
        <v>106</v>
      </c>
      <c r="BA13" s="336">
        <f ca="1" t="shared" si="11"/>
      </c>
      <c r="BB13" s="336">
        <f ca="1" t="shared" si="11"/>
      </c>
      <c r="BC13" s="336">
        <f ca="1" t="shared" si="2"/>
      </c>
      <c r="BD13" s="336">
        <f ca="1" t="shared" si="11"/>
      </c>
      <c r="BE13" s="336">
        <f ca="1" t="shared" si="11"/>
      </c>
      <c r="BF13" s="336">
        <f ca="1" t="shared" si="3"/>
      </c>
      <c r="BG13" s="336">
        <f ca="1" t="shared" si="11"/>
      </c>
      <c r="BH13" s="336">
        <f ca="1" t="shared" si="11"/>
      </c>
      <c r="BI13" s="336">
        <f ca="1" t="shared" si="4"/>
      </c>
      <c r="BJ13" s="336">
        <f ca="1" t="shared" si="11"/>
      </c>
      <c r="BK13" s="336">
        <f ca="1" t="shared" si="11"/>
      </c>
      <c r="BL13" s="336">
        <f ca="1" t="shared" si="5"/>
      </c>
      <c r="BM13" s="336">
        <f ca="1" t="shared" si="11"/>
      </c>
      <c r="BN13" s="336">
        <f ca="1" t="shared" si="11"/>
      </c>
      <c r="BO13" s="336">
        <f ca="1" t="shared" si="6"/>
      </c>
      <c r="BQ13" s="340" t="s">
        <v>153</v>
      </c>
      <c r="BR13" s="340" t="s">
        <v>155</v>
      </c>
      <c r="BS13" s="340" t="s">
        <v>156</v>
      </c>
      <c r="BT13" s="153"/>
      <c r="BU13" s="340" t="s">
        <v>153</v>
      </c>
      <c r="BV13" s="340" t="s">
        <v>155</v>
      </c>
      <c r="BW13" s="340" t="s">
        <v>156</v>
      </c>
      <c r="BX13" s="153"/>
      <c r="BY13" s="340" t="s">
        <v>153</v>
      </c>
      <c r="BZ13" s="340" t="s">
        <v>155</v>
      </c>
      <c r="CA13" s="340" t="s">
        <v>156</v>
      </c>
      <c r="CB13" s="153"/>
    </row>
    <row r="14" spans="2:80" ht="13.5" customHeight="1" thickBot="1">
      <c r="B14" s="130">
        <f t="shared" si="13"/>
      </c>
      <c r="C14" s="39">
        <f t="shared" si="14"/>
      </c>
      <c r="D14" s="43">
        <f t="shared" si="15"/>
      </c>
      <c r="E14" s="153">
        <f aca="true" t="shared" si="22" ref="E14:E19">IF(LEFT(D14,1)="a",4*C14,IF(LEFT(D14,1)="b",3*C14,IF(LEFT(D14,1)="c",2*C14,IF(LEFT(D14,1)="d",C14,IF(LEFT(D14,1)="f",0,"")))))</f>
      </c>
      <c r="F14" s="130">
        <f t="shared" si="16"/>
      </c>
      <c r="G14" s="39">
        <f t="shared" si="17"/>
      </c>
      <c r="H14" s="43">
        <f t="shared" si="18"/>
      </c>
      <c r="I14" s="153">
        <f aca="true" t="shared" si="23" ref="I14:I19">IF(LEFT(H14,1)="a",4*G14,IF(LEFT(H14,1)="b",3*G14,IF(LEFT(H14,1)="c",2*G14,IF(LEFT(H14,1)="d",G14,IF(LEFT(H14,1)="f",0,"")))))</f>
      </c>
      <c r="J14" s="130">
        <f t="shared" si="19"/>
      </c>
      <c r="K14" s="39">
        <f t="shared" si="20"/>
      </c>
      <c r="L14" s="43">
        <f t="shared" si="21"/>
      </c>
      <c r="M14" s="153">
        <f aca="true" t="shared" si="24" ref="M14:M19">IF(LEFT(L14,1)="a",4*K14,IF(LEFT(L14,1)="b",3*K14,IF(LEFT(L14,1)="c",2*K14,IF(LEFT(L14,1)="d",K14,IF(LEFT(L14,1)="f",0,"")))))</f>
      </c>
      <c r="N14" s="45"/>
      <c r="O14" s="143" t="s">
        <v>13</v>
      </c>
      <c r="P14" s="144"/>
      <c r="Q14" s="144"/>
      <c r="R14" s="144"/>
      <c r="S14" s="305"/>
      <c r="T14" s="305"/>
      <c r="U14" s="305"/>
      <c r="V14" s="305"/>
      <c r="W14" s="144"/>
      <c r="X14" s="144"/>
      <c r="Y14" s="145"/>
      <c r="Z14" s="362" t="s">
        <v>55</v>
      </c>
      <c r="AD14" s="1">
        <v>14</v>
      </c>
      <c r="AE14" s="320">
        <f t="shared" si="0"/>
        <v>2000000</v>
      </c>
      <c r="AG14" s="38" t="str">
        <f t="shared" si="12"/>
        <v>PH 115</v>
      </c>
      <c r="AH14" s="328">
        <f t="shared" si="12"/>
        <v>1</v>
      </c>
      <c r="AI14" s="320">
        <f>Q21</f>
        <v>0</v>
      </c>
      <c r="AJ14" s="294">
        <f>IF(AN14="y",AG14,IF(AE14=10101,AG14,IF(AE14&gt;999999,"",IF(AE14&lt;&gt;AE13,"COREQ ERROR_PH 112",AG14))))</f>
      </c>
      <c r="AK14" s="158" t="b">
        <f>IF(OR(LEFT(Q21,1)="T",S21/X21&gt;=2),TRUE,FALSE)</f>
        <v>0</v>
      </c>
      <c r="AL14" s="39">
        <f>IF(P21&gt;0,P21*100,1000000)+IF(LEFT(O21,2)="Sp",1,IF(LEFT(O21,2)="Su",IF(AND(LEN(O21&gt;8),MID(O21,8,1)="2"),6,5),IF(LEFT(O21,2)="Fa",9,1000000)))</f>
        <v>2000000</v>
      </c>
      <c r="AM14" s="139"/>
      <c r="AN14" s="77"/>
      <c r="AP14" s="37" t="s">
        <v>171</v>
      </c>
      <c r="AS14" s="37"/>
      <c r="AT14" s="37"/>
      <c r="AU14" s="37" t="s">
        <v>103</v>
      </c>
      <c r="AV14" s="37" t="s">
        <v>103</v>
      </c>
      <c r="BA14" s="336">
        <f aca="true" ca="1" t="shared" si="25" ref="BA14:BO30">IF($AE14=BA$1,CELL("row",$AE14),"")</f>
      </c>
      <c r="BB14" s="336">
        <f ca="1" t="shared" si="25"/>
      </c>
      <c r="BC14" s="336">
        <f ca="1" t="shared" si="2"/>
      </c>
      <c r="BD14" s="336">
        <f ca="1" t="shared" si="25"/>
      </c>
      <c r="BE14" s="336">
        <f ca="1" t="shared" si="25"/>
      </c>
      <c r="BF14" s="336">
        <f ca="1" t="shared" si="3"/>
      </c>
      <c r="BG14" s="336">
        <f ca="1" t="shared" si="25"/>
      </c>
      <c r="BH14" s="336">
        <f ca="1" t="shared" si="25"/>
      </c>
      <c r="BI14" s="336">
        <f ca="1" t="shared" si="4"/>
      </c>
      <c r="BJ14" s="336">
        <f ca="1" t="shared" si="25"/>
      </c>
      <c r="BK14" s="336">
        <f ca="1" t="shared" si="25"/>
      </c>
      <c r="BL14" s="336">
        <f ca="1" t="shared" si="5"/>
      </c>
      <c r="BM14" s="336">
        <f ca="1" t="shared" si="25"/>
      </c>
      <c r="BN14" s="336">
        <f ca="1" t="shared" si="25"/>
      </c>
      <c r="BO14" s="336">
        <f ca="1" t="shared" si="6"/>
      </c>
      <c r="BQ14" s="176">
        <f aca="true" t="shared" si="26" ref="BQ14:BQ21">BA82</f>
        <v>0</v>
      </c>
      <c r="BR14" s="320">
        <f aca="true" t="shared" si="27" ref="BR14:BR21">IF(BQ14&gt;0,INDEX(MECourses,BQ14,1),"")</f>
      </c>
      <c r="BS14" s="320">
        <f aca="true" t="shared" si="28" ref="BS14:BS21">IF(BQ14&gt;0,INDEX(MECourses,BQ14,4),"")</f>
      </c>
      <c r="BT14" s="153"/>
      <c r="BU14" s="176">
        <f aca="true" t="shared" si="29" ref="BU14:BU21">BB82</f>
        <v>0</v>
      </c>
      <c r="BV14" s="320">
        <f aca="true" t="shared" si="30" ref="BV14:BV21">IF(BU14&gt;0,INDEX(MECourses,BU14,1),"")</f>
      </c>
      <c r="BW14" s="320">
        <f aca="true" t="shared" si="31" ref="BW14:BW21">IF(BU14&gt;0,INDEX(MECourses,BU14,4),"")</f>
      </c>
      <c r="BX14" s="153"/>
      <c r="BY14" s="176">
        <f aca="true" t="shared" si="32" ref="BY14:BY21">BC82</f>
        <v>0</v>
      </c>
      <c r="BZ14" s="320">
        <f aca="true" t="shared" si="33" ref="BZ14:BZ21">IF(BY14&gt;0,INDEX(MECourses,BY14,1),"")</f>
      </c>
      <c r="CA14" s="320">
        <f aca="true" t="shared" si="34" ref="CA14:CA21">IF(BY14&gt;0,INDEX(MECourses,BY14,4),"")</f>
      </c>
      <c r="CB14" s="153"/>
    </row>
    <row r="15" spans="2:80" ht="13.5" customHeight="1">
      <c r="B15" s="130">
        <f t="shared" si="13"/>
      </c>
      <c r="C15" s="39">
        <f t="shared" si="14"/>
      </c>
      <c r="D15" s="43">
        <f t="shared" si="15"/>
      </c>
      <c r="E15" s="153">
        <f t="shared" si="22"/>
      </c>
      <c r="F15" s="130">
        <f t="shared" si="16"/>
      </c>
      <c r="G15" s="39">
        <f t="shared" si="17"/>
      </c>
      <c r="H15" s="43">
        <f t="shared" si="18"/>
      </c>
      <c r="I15" s="153">
        <f t="shared" si="23"/>
      </c>
      <c r="J15" s="130">
        <f t="shared" si="19"/>
      </c>
      <c r="K15" s="39">
        <f t="shared" si="20"/>
      </c>
      <c r="L15" s="43">
        <f t="shared" si="21"/>
      </c>
      <c r="M15" s="153">
        <f t="shared" si="24"/>
      </c>
      <c r="N15" s="45"/>
      <c r="O15" s="84"/>
      <c r="P15" s="85"/>
      <c r="Q15" s="95"/>
      <c r="R15" s="236" t="s">
        <v>171</v>
      </c>
      <c r="S15" s="236">
        <f>IF(LEFT(Q15,1)="a",4,IF(LEFT(Q15,1)="b",3,IF(LEFT(Q15,1)="c",2,IF(LEFT(Q15,1)="d",1,0))))*X15</f>
        <v>0</v>
      </c>
      <c r="T15" s="236">
        <f t="shared" si="10"/>
      </c>
      <c r="U15" s="236">
        <f t="shared" si="8"/>
      </c>
      <c r="V15" s="236">
        <f t="shared" si="9"/>
      </c>
      <c r="W15" s="47" t="s">
        <v>94</v>
      </c>
      <c r="X15" s="48">
        <v>3</v>
      </c>
      <c r="Y15" s="62" t="s">
        <v>227</v>
      </c>
      <c r="Z15" s="363" t="s">
        <v>295</v>
      </c>
      <c r="AD15" s="1">
        <v>15</v>
      </c>
      <c r="AE15" s="320">
        <f>IF(AND(AK15,AL15&gt;999999,AG15=W23),10101,AL15)</f>
        <v>1000000</v>
      </c>
      <c r="AG15" s="38" t="s">
        <v>108</v>
      </c>
      <c r="AH15" s="331">
        <v>4</v>
      </c>
      <c r="AI15" s="332">
        <f>Q23</f>
        <v>0</v>
      </c>
      <c r="AJ15" s="294">
        <f>IF(AE15&gt;999999,"",AG15)</f>
      </c>
      <c r="AK15" s="293" t="b">
        <f>IF(OR(LEFT(Q23,1)="T",S23/X23&gt;=2),TRUE,FALSE)</f>
        <v>0</v>
      </c>
      <c r="AL15" s="332">
        <f>IF(W23=AG15,IF(P23&gt;0,P23*100,1000000)+IF(LEFT(O23,2)="Sp",1,IF(LEFT(O23,2)="Su",5,IF(LEFT(O23,2)="Fa",9,1000000))),1000000)</f>
        <v>1000000</v>
      </c>
      <c r="AM15" s="139" t="b">
        <f>OR(AE15&lt;999999,AE16&lt;999999,AE18&lt;999999)</f>
        <v>0</v>
      </c>
      <c r="AN15" s="77"/>
      <c r="AO15" s="37" t="b">
        <f>AND(AE15&gt;999999,AM$15)</f>
        <v>0</v>
      </c>
      <c r="AQ15" s="37"/>
      <c r="AR15" s="37"/>
      <c r="AS15" s="37"/>
      <c r="AT15" s="37"/>
      <c r="AU15" s="37" t="s">
        <v>107</v>
      </c>
      <c r="AV15" s="37" t="s">
        <v>107</v>
      </c>
      <c r="BA15" s="336">
        <f ca="1" t="shared" si="25"/>
      </c>
      <c r="BB15" s="336">
        <f ca="1" t="shared" si="25"/>
      </c>
      <c r="BC15" s="336">
        <f ca="1" t="shared" si="25"/>
      </c>
      <c r="BD15" s="336">
        <f ca="1" t="shared" si="25"/>
      </c>
      <c r="BE15" s="336">
        <f ca="1" t="shared" si="25"/>
      </c>
      <c r="BF15" s="336">
        <f ca="1" t="shared" si="25"/>
      </c>
      <c r="BG15" s="336">
        <f ca="1" t="shared" si="25"/>
      </c>
      <c r="BH15" s="336">
        <f ca="1" t="shared" si="25"/>
      </c>
      <c r="BI15" s="336">
        <f ca="1" t="shared" si="25"/>
      </c>
      <c r="BJ15" s="336">
        <f ca="1" t="shared" si="25"/>
      </c>
      <c r="BK15" s="336">
        <f ca="1" t="shared" si="25"/>
      </c>
      <c r="BL15" s="336">
        <f ca="1" t="shared" si="25"/>
      </c>
      <c r="BM15" s="336">
        <f ca="1" t="shared" si="25"/>
      </c>
      <c r="BN15" s="336">
        <f ca="1" t="shared" si="25"/>
      </c>
      <c r="BO15" s="336">
        <f ca="1" t="shared" si="25"/>
      </c>
      <c r="BQ15" s="176">
        <f t="shared" si="26"/>
        <v>0</v>
      </c>
      <c r="BR15" s="320">
        <f t="shared" si="27"/>
      </c>
      <c r="BS15" s="320">
        <f t="shared" si="28"/>
      </c>
      <c r="BT15" s="153"/>
      <c r="BU15" s="178">
        <f t="shared" si="29"/>
        <v>0</v>
      </c>
      <c r="BV15" s="320">
        <f t="shared" si="30"/>
      </c>
      <c r="BW15" s="320">
        <f t="shared" si="31"/>
      </c>
      <c r="BX15" s="153"/>
      <c r="BY15" s="178">
        <f t="shared" si="32"/>
        <v>0</v>
      </c>
      <c r="BZ15" s="320">
        <f t="shared" si="33"/>
      </c>
      <c r="CA15" s="320">
        <f t="shared" si="34"/>
      </c>
      <c r="CB15" s="153"/>
    </row>
    <row r="16" spans="2:80" ht="13.5" customHeight="1" thickBot="1">
      <c r="B16" s="130">
        <f t="shared" si="13"/>
      </c>
      <c r="C16" s="39">
        <f t="shared" si="14"/>
      </c>
      <c r="D16" s="43">
        <f t="shared" si="15"/>
      </c>
      <c r="E16" s="153">
        <f t="shared" si="22"/>
      </c>
      <c r="F16" s="130">
        <f t="shared" si="16"/>
      </c>
      <c r="G16" s="39">
        <f t="shared" si="17"/>
      </c>
      <c r="H16" s="43">
        <f t="shared" si="18"/>
      </c>
      <c r="I16" s="153">
        <f t="shared" si="23"/>
      </c>
      <c r="J16" s="130">
        <f t="shared" si="19"/>
      </c>
      <c r="K16" s="39">
        <f t="shared" si="20"/>
      </c>
      <c r="L16" s="43">
        <f t="shared" si="21"/>
      </c>
      <c r="M16" s="153">
        <f t="shared" si="24"/>
      </c>
      <c r="N16" s="45"/>
      <c r="O16" s="79"/>
      <c r="P16" s="80"/>
      <c r="Q16" s="96"/>
      <c r="R16" s="237" t="s">
        <v>171</v>
      </c>
      <c r="S16" s="237">
        <f>IF(LEFT(Q16,1)="a",4,IF(LEFT(Q16,1)="b",3,IF(LEFT(Q16,1)="c",2,IF(LEFT(Q16,1)="d",1,0))))*X16</f>
        <v>0</v>
      </c>
      <c r="T16" s="237">
        <f t="shared" si="10"/>
      </c>
      <c r="U16" s="237">
        <f t="shared" si="8"/>
      </c>
      <c r="V16" s="237">
        <f t="shared" si="9"/>
      </c>
      <c r="W16" s="50" t="s">
        <v>95</v>
      </c>
      <c r="X16" s="8">
        <v>1</v>
      </c>
      <c r="Y16" s="30" t="s">
        <v>228</v>
      </c>
      <c r="Z16" s="375" t="s">
        <v>296</v>
      </c>
      <c r="AD16" s="1">
        <v>16</v>
      </c>
      <c r="AE16" s="320">
        <f>IF(AND(AK16,AL16&gt;999999,AG16=W23),10101,AL16)</f>
        <v>1000000</v>
      </c>
      <c r="AG16" s="38" t="s">
        <v>109</v>
      </c>
      <c r="AH16" s="331">
        <v>3</v>
      </c>
      <c r="AI16" s="332">
        <f>Q23</f>
        <v>0</v>
      </c>
      <c r="AJ16" s="294">
        <f>IF(AN16="y",AG16,IF(AE16=10101,AG16,IF(AE16&gt;999999,"",IF(AE16&lt;=AE9,"PREREQ ERROR_CH 121",IF(AE16&lt;AE17,"PREREQ w/Con ERROR_CH 126",AG16)))))</f>
      </c>
      <c r="AK16" s="293" t="b">
        <f>IF(OR(LEFT(Q23,1)="T",S23/X23&gt;=2),TRUE,FALSE)</f>
        <v>0</v>
      </c>
      <c r="AL16" s="332">
        <f>IF(W23=AG16,IF(P23&gt;0,P23*100,1000000)+IF(LEFT(O23,2)="Sp",1,IF(LEFT(O23,2)="Su",5,IF(LEFT(O23,2)="Fa",9,1000000))),1000000)</f>
        <v>1000000</v>
      </c>
      <c r="AM16" s="139"/>
      <c r="AN16" s="77"/>
      <c r="AO16" s="37" t="b">
        <f>AND(AE16&gt;999999,AM$15)</f>
        <v>0</v>
      </c>
      <c r="AQ16" s="37"/>
      <c r="AR16" s="37"/>
      <c r="AS16" s="37"/>
      <c r="AT16" s="37"/>
      <c r="AU16" s="68" t="s">
        <v>104</v>
      </c>
      <c r="AV16" s="67" t="s">
        <v>104</v>
      </c>
      <c r="BA16" s="336">
        <f ca="1" t="shared" si="25"/>
      </c>
      <c r="BB16" s="336">
        <f ca="1" t="shared" si="25"/>
      </c>
      <c r="BC16" s="336">
        <f ca="1" t="shared" si="25"/>
      </c>
      <c r="BD16" s="336">
        <f ca="1" t="shared" si="25"/>
      </c>
      <c r="BE16" s="336">
        <f ca="1" t="shared" si="25"/>
      </c>
      <c r="BF16" s="336">
        <f ca="1" t="shared" si="25"/>
      </c>
      <c r="BG16" s="336">
        <f ca="1" t="shared" si="25"/>
      </c>
      <c r="BH16" s="336">
        <f ca="1" t="shared" si="25"/>
      </c>
      <c r="BI16" s="336">
        <f ca="1" t="shared" si="25"/>
      </c>
      <c r="BJ16" s="336">
        <f ca="1" t="shared" si="25"/>
      </c>
      <c r="BK16" s="336">
        <f ca="1" t="shared" si="25"/>
      </c>
      <c r="BL16" s="336">
        <f ca="1" t="shared" si="25"/>
      </c>
      <c r="BM16" s="336">
        <f ca="1" t="shared" si="25"/>
      </c>
      <c r="BN16" s="336">
        <f ca="1" t="shared" si="25"/>
      </c>
      <c r="BO16" s="336">
        <f ca="1" t="shared" si="25"/>
      </c>
      <c r="BQ16" s="176">
        <f t="shared" si="26"/>
        <v>0</v>
      </c>
      <c r="BR16" s="320">
        <f t="shared" si="27"/>
      </c>
      <c r="BS16" s="320">
        <f t="shared" si="28"/>
      </c>
      <c r="BT16" s="153"/>
      <c r="BU16" s="178">
        <f t="shared" si="29"/>
        <v>0</v>
      </c>
      <c r="BV16" s="320">
        <f t="shared" si="30"/>
      </c>
      <c r="BW16" s="320">
        <f t="shared" si="31"/>
      </c>
      <c r="BX16" s="153"/>
      <c r="BY16" s="178">
        <f t="shared" si="32"/>
        <v>0</v>
      </c>
      <c r="BZ16" s="320">
        <f t="shared" si="33"/>
      </c>
      <c r="CA16" s="320">
        <f t="shared" si="34"/>
      </c>
      <c r="CB16" s="153"/>
    </row>
    <row r="17" spans="2:80" ht="13.5" customHeight="1" thickBot="1">
      <c r="B17" s="130">
        <f t="shared" si="13"/>
      </c>
      <c r="C17" s="39">
        <f t="shared" si="14"/>
      </c>
      <c r="D17" s="43">
        <f t="shared" si="15"/>
      </c>
      <c r="E17" s="153">
        <f t="shared" si="22"/>
      </c>
      <c r="F17" s="130">
        <f t="shared" si="16"/>
      </c>
      <c r="G17" s="39">
        <f t="shared" si="17"/>
      </c>
      <c r="H17" s="43">
        <f t="shared" si="18"/>
      </c>
      <c r="I17" s="153">
        <f t="shared" si="23"/>
      </c>
      <c r="J17" s="130">
        <f t="shared" si="19"/>
      </c>
      <c r="K17" s="39">
        <f t="shared" si="20"/>
      </c>
      <c r="L17" s="43">
        <f t="shared" si="21"/>
      </c>
      <c r="M17" s="153">
        <f t="shared" si="24"/>
      </c>
      <c r="N17" s="45"/>
      <c r="O17" s="143" t="s">
        <v>14</v>
      </c>
      <c r="P17" s="144"/>
      <c r="Q17" s="144"/>
      <c r="R17" s="232"/>
      <c r="S17" s="305"/>
      <c r="T17" s="305"/>
      <c r="U17" s="305"/>
      <c r="V17" s="305"/>
      <c r="W17" s="144"/>
      <c r="X17" s="144"/>
      <c r="Y17" s="145"/>
      <c r="Z17" s="364" t="s">
        <v>55</v>
      </c>
      <c r="AD17" s="1">
        <v>17</v>
      </c>
      <c r="AE17" s="320">
        <f>IF(AND(AK17,AL17&gt;999999,AG17=W24),10101,AL17)</f>
        <v>1000000</v>
      </c>
      <c r="AG17" s="38" t="s">
        <v>110</v>
      </c>
      <c r="AH17" s="331">
        <v>1</v>
      </c>
      <c r="AI17" s="332">
        <f>Q24</f>
        <v>0</v>
      </c>
      <c r="AJ17" s="294">
        <f>IF(AN17="y",AG17,IF(AE17=10101,AG17,IF(AE17&gt;999999,"",IF(AE17&lt;&gt;AE16,"COREQ ERROR_CH 123",AG17))))</f>
      </c>
      <c r="AK17" s="293" t="b">
        <f>IF(X24=0,FALSE,IF(OR(LEFT(Q24,1)="T",S24/X24&gt;=2),TRUE,FALSE))</f>
        <v>0</v>
      </c>
      <c r="AL17" s="332">
        <f>IF(W24=AG17,IF(P24&gt;0,P24*100,1000000)+IF(LEFT(O24,2)="Sp",1,IF(LEFT(O24,2)="Su",5,IF(LEFT(O24,2)="Fa",9,1000000))),1000000)</f>
        <v>1000000</v>
      </c>
      <c r="AM17" s="139"/>
      <c r="AN17" s="77"/>
      <c r="AO17" s="37" t="b">
        <f>AND(AE17&gt;999999,AM$15)</f>
        <v>0</v>
      </c>
      <c r="AQ17" s="37"/>
      <c r="AR17" s="37"/>
      <c r="AS17" s="37"/>
      <c r="AU17" s="37" t="s">
        <v>141</v>
      </c>
      <c r="AV17" s="68" t="s">
        <v>196</v>
      </c>
      <c r="BA17" s="336">
        <f ca="1" t="shared" si="25"/>
      </c>
      <c r="BB17" s="336">
        <f ca="1" t="shared" si="25"/>
      </c>
      <c r="BC17" s="336">
        <f ca="1" t="shared" si="25"/>
      </c>
      <c r="BD17" s="336">
        <f ca="1" t="shared" si="25"/>
      </c>
      <c r="BE17" s="336">
        <f ca="1" t="shared" si="25"/>
      </c>
      <c r="BF17" s="336">
        <f ca="1" t="shared" si="25"/>
      </c>
      <c r="BG17" s="336">
        <f ca="1" t="shared" si="25"/>
      </c>
      <c r="BH17" s="336">
        <f ca="1" t="shared" si="25"/>
      </c>
      <c r="BI17" s="336">
        <f ca="1" t="shared" si="25"/>
      </c>
      <c r="BJ17" s="336">
        <f ca="1" t="shared" si="25"/>
      </c>
      <c r="BK17" s="336">
        <f ca="1" t="shared" si="25"/>
      </c>
      <c r="BL17" s="336">
        <f ca="1" t="shared" si="25"/>
      </c>
      <c r="BM17" s="336">
        <f ca="1" t="shared" si="25"/>
      </c>
      <c r="BN17" s="336">
        <f ca="1" t="shared" si="25"/>
      </c>
      <c r="BO17" s="336">
        <f ca="1" t="shared" si="25"/>
      </c>
      <c r="BQ17" s="176">
        <f t="shared" si="26"/>
        <v>0</v>
      </c>
      <c r="BR17" s="320">
        <f t="shared" si="27"/>
      </c>
      <c r="BS17" s="320">
        <f t="shared" si="28"/>
      </c>
      <c r="BT17" s="153"/>
      <c r="BU17" s="178">
        <f t="shared" si="29"/>
        <v>0</v>
      </c>
      <c r="BV17" s="320">
        <f t="shared" si="30"/>
      </c>
      <c r="BW17" s="320">
        <f t="shared" si="31"/>
      </c>
      <c r="BX17" s="153"/>
      <c r="BY17" s="178">
        <f t="shared" si="32"/>
        <v>0</v>
      </c>
      <c r="BZ17" s="320">
        <f t="shared" si="33"/>
      </c>
      <c r="CA17" s="320">
        <f t="shared" si="34"/>
      </c>
      <c r="CB17" s="153"/>
    </row>
    <row r="18" spans="2:80" ht="13.5" customHeight="1">
      <c r="B18" s="130">
        <f t="shared" si="13"/>
      </c>
      <c r="C18" s="39">
        <f t="shared" si="14"/>
      </c>
      <c r="D18" s="43">
        <f t="shared" si="15"/>
      </c>
      <c r="E18" s="153">
        <f t="shared" si="22"/>
      </c>
      <c r="F18" s="130">
        <f t="shared" si="16"/>
      </c>
      <c r="G18" s="39">
        <f t="shared" si="17"/>
      </c>
      <c r="H18" s="43">
        <f t="shared" si="18"/>
      </c>
      <c r="I18" s="153">
        <f t="shared" si="23"/>
      </c>
      <c r="J18" s="130">
        <f t="shared" si="19"/>
      </c>
      <c r="K18" s="39">
        <f t="shared" si="20"/>
      </c>
      <c r="L18" s="43">
        <f t="shared" si="21"/>
      </c>
      <c r="M18" s="153">
        <f t="shared" si="24"/>
      </c>
      <c r="N18" s="45"/>
      <c r="O18" s="84"/>
      <c r="P18" s="85"/>
      <c r="Q18" s="95"/>
      <c r="R18" s="236" t="s">
        <v>171</v>
      </c>
      <c r="S18" s="236">
        <f>IF(LEFT(Q18,1)="a",4,IF(LEFT(Q18,1)="b",3,IF(LEFT(Q18,1)="c",2,IF(LEFT(Q18,1)="d",1,0))))*X18</f>
        <v>0</v>
      </c>
      <c r="T18" s="236">
        <f t="shared" si="10"/>
      </c>
      <c r="U18" s="236">
        <f t="shared" si="8"/>
      </c>
      <c r="V18" s="236">
        <f t="shared" si="9"/>
      </c>
      <c r="W18" s="47" t="s">
        <v>96</v>
      </c>
      <c r="X18" s="48">
        <v>3</v>
      </c>
      <c r="Y18" s="62" t="s">
        <v>216</v>
      </c>
      <c r="Z18" s="363" t="s">
        <v>90</v>
      </c>
      <c r="AD18" s="1">
        <v>18</v>
      </c>
      <c r="AE18" s="320">
        <f>IF(AND(AK18,AL18&gt;999999,AG18=W23),10101,AL18)</f>
        <v>1000000</v>
      </c>
      <c r="AG18" s="38" t="s">
        <v>111</v>
      </c>
      <c r="AH18" s="331">
        <v>3</v>
      </c>
      <c r="AI18" s="332">
        <f>Q23</f>
        <v>0</v>
      </c>
      <c r="AJ18" s="294">
        <f>IF(AN18="y",AG18,IF(AE18=10101,AG18,IF(AE18&gt;999999,"",IF(AE18&lt;=AE13,"PREREQ ERROR_PH 112",IF(AE18&lt;=AE6,"PREREQ ERROR_MA 201",IF(AE19&lt;&gt;AE18,"COREQ ERROR_PH 116",AG18))))))</f>
      </c>
      <c r="AK18" s="293" t="b">
        <f>IF(OR(LEFT(Q23,1)="T",S23/X23&gt;=2),TRUE,FALSE)</f>
        <v>0</v>
      </c>
      <c r="AL18" s="332">
        <f>IF(W23=AG18,IF(P23&gt;0,P23*100,1000000)+IF(LEFT(O23,2)="Sp",1,IF(LEFT(O23,2)="Su",5,IF(LEFT(O23,2)="Fa",9,1000000))),1000000)</f>
        <v>1000000</v>
      </c>
      <c r="AM18" s="139"/>
      <c r="AN18" s="77"/>
      <c r="AO18" s="37" t="b">
        <f>AND(AE18&gt;999999,AM$15)</f>
        <v>0</v>
      </c>
      <c r="AQ18" s="37"/>
      <c r="AR18" s="37"/>
      <c r="AS18" s="37"/>
      <c r="AU18" s="37" t="s">
        <v>140</v>
      </c>
      <c r="AV18" s="68" t="s">
        <v>209</v>
      </c>
      <c r="BA18" s="336">
        <f ca="1" t="shared" si="25"/>
      </c>
      <c r="BB18" s="336">
        <f ca="1" t="shared" si="25"/>
      </c>
      <c r="BC18" s="336">
        <f ca="1" t="shared" si="25"/>
      </c>
      <c r="BD18" s="336">
        <f ca="1" t="shared" si="25"/>
      </c>
      <c r="BE18" s="336">
        <f ca="1" t="shared" si="25"/>
      </c>
      <c r="BF18" s="336">
        <f ca="1" t="shared" si="25"/>
      </c>
      <c r="BG18" s="336">
        <f ca="1" t="shared" si="25"/>
      </c>
      <c r="BH18" s="336">
        <f ca="1" t="shared" si="25"/>
      </c>
      <c r="BI18" s="336">
        <f ca="1" t="shared" si="25"/>
      </c>
      <c r="BJ18" s="336">
        <f ca="1" t="shared" si="25"/>
      </c>
      <c r="BK18" s="336">
        <f ca="1" t="shared" si="25"/>
      </c>
      <c r="BL18" s="336">
        <f ca="1" t="shared" si="25"/>
      </c>
      <c r="BM18" s="336">
        <f ca="1" t="shared" si="25"/>
      </c>
      <c r="BN18" s="336">
        <f ca="1" t="shared" si="25"/>
      </c>
      <c r="BO18" s="336">
        <f ca="1" t="shared" si="25"/>
      </c>
      <c r="BQ18" s="176">
        <f t="shared" si="26"/>
        <v>0</v>
      </c>
      <c r="BR18" s="320">
        <f t="shared" si="27"/>
      </c>
      <c r="BS18" s="320">
        <f t="shared" si="28"/>
      </c>
      <c r="BT18" s="153"/>
      <c r="BU18" s="178">
        <f t="shared" si="29"/>
        <v>0</v>
      </c>
      <c r="BV18" s="320">
        <f t="shared" si="30"/>
      </c>
      <c r="BW18" s="320">
        <f t="shared" si="31"/>
      </c>
      <c r="BX18" s="153"/>
      <c r="BY18" s="178">
        <f t="shared" si="32"/>
        <v>0</v>
      </c>
      <c r="BZ18" s="320">
        <f t="shared" si="33"/>
      </c>
      <c r="CA18" s="320">
        <f t="shared" si="34"/>
      </c>
      <c r="CB18" s="153"/>
    </row>
    <row r="19" spans="2:80" ht="13.5" customHeight="1" thickBot="1">
      <c r="B19" s="369">
        <f t="shared" si="13"/>
      </c>
      <c r="C19" s="370">
        <f t="shared" si="14"/>
      </c>
      <c r="D19" s="371">
        <f t="shared" si="15"/>
      </c>
      <c r="E19" s="153">
        <f t="shared" si="22"/>
      </c>
      <c r="F19" s="369">
        <f t="shared" si="16"/>
      </c>
      <c r="G19" s="370">
        <f t="shared" si="17"/>
      </c>
      <c r="H19" s="371">
        <f t="shared" si="18"/>
      </c>
      <c r="I19" s="153">
        <f t="shared" si="23"/>
      </c>
      <c r="J19" s="369">
        <f t="shared" si="19"/>
      </c>
      <c r="K19" s="370">
        <f t="shared" si="20"/>
      </c>
      <c r="L19" s="371">
        <f t="shared" si="21"/>
      </c>
      <c r="M19" s="153">
        <f t="shared" si="24"/>
      </c>
      <c r="N19" s="45"/>
      <c r="O19" s="69"/>
      <c r="P19" s="78"/>
      <c r="Q19" s="97"/>
      <c r="R19" s="238" t="s">
        <v>171</v>
      </c>
      <c r="S19" s="238">
        <f>IF(LEFT(Q19,1)="a",4,IF(LEFT(Q19,1)="b",3,IF(LEFT(Q19,1)="c",2,IF(LEFT(Q19,1)="d",1,0))))*X19</f>
        <v>0</v>
      </c>
      <c r="T19" s="238">
        <f t="shared" si="10"/>
      </c>
      <c r="U19" s="238">
        <f t="shared" si="8"/>
      </c>
      <c r="V19" s="238">
        <f t="shared" si="9"/>
      </c>
      <c r="W19" s="51" t="s">
        <v>97</v>
      </c>
      <c r="X19" s="7">
        <v>1</v>
      </c>
      <c r="Y19" s="18" t="s">
        <v>217</v>
      </c>
      <c r="Z19" s="16" t="s">
        <v>297</v>
      </c>
      <c r="AD19" s="1">
        <v>19</v>
      </c>
      <c r="AE19" s="320">
        <f>IF(AND(AK19,AL19&gt;999999,AG19=W24),10101,AL19)</f>
        <v>1000000</v>
      </c>
      <c r="AG19" s="38" t="s">
        <v>112</v>
      </c>
      <c r="AH19" s="331">
        <v>1</v>
      </c>
      <c r="AI19" s="332">
        <f>Q24</f>
        <v>0</v>
      </c>
      <c r="AJ19" s="294">
        <f>IF(AN19="y",AG19,IF(AE19=10101,AG19,IF(AE19&gt;999999,"",IF(AE19&lt;&gt;AE18,"COREQ ERROR_PH 113",AG19))))</f>
      </c>
      <c r="AK19" s="293" t="b">
        <f>IF(X24=0,FALSE,IF(OR(LEFT(Q24,1)="T",S24/X24&gt;=2),TRUE,FALSE))</f>
        <v>0</v>
      </c>
      <c r="AL19" s="332">
        <f>IF(W24=AG19,IF(P24&gt;0,P24*100,1000000)+IF(LEFT(O24,2)="Sp",1,IF(LEFT(O24,2)="Su",5,IF(LEFT(O24,2)="Fa",9,1000000))),1000000)</f>
        <v>1000000</v>
      </c>
      <c r="AM19" s="139"/>
      <c r="AN19" s="77"/>
      <c r="AO19" s="37" t="b">
        <f>AND(AE19&gt;999999,AM$15)</f>
        <v>0</v>
      </c>
      <c r="AQ19" s="37"/>
      <c r="AR19" s="37"/>
      <c r="AS19" s="37"/>
      <c r="AU19" s="37" t="s">
        <v>142</v>
      </c>
      <c r="AV19" s="68" t="s">
        <v>261</v>
      </c>
      <c r="BA19" s="336">
        <f ca="1" t="shared" si="25"/>
      </c>
      <c r="BB19" s="336">
        <f ca="1" t="shared" si="25"/>
      </c>
      <c r="BC19" s="336">
        <f ca="1" t="shared" si="25"/>
      </c>
      <c r="BD19" s="336">
        <f ca="1" t="shared" si="25"/>
      </c>
      <c r="BE19" s="336">
        <f ca="1" t="shared" si="25"/>
      </c>
      <c r="BF19" s="336">
        <f ca="1" t="shared" si="25"/>
      </c>
      <c r="BG19" s="336">
        <f ca="1" t="shared" si="25"/>
      </c>
      <c r="BH19" s="336">
        <f ca="1" t="shared" si="25"/>
      </c>
      <c r="BI19" s="336">
        <f ca="1" t="shared" si="25"/>
      </c>
      <c r="BJ19" s="336">
        <f ca="1" t="shared" si="25"/>
      </c>
      <c r="BK19" s="336">
        <f ca="1" t="shared" si="25"/>
      </c>
      <c r="BL19" s="336">
        <f ca="1" t="shared" si="25"/>
      </c>
      <c r="BM19" s="336">
        <f ca="1" t="shared" si="25"/>
      </c>
      <c r="BN19" s="336">
        <f ca="1" t="shared" si="25"/>
      </c>
      <c r="BO19" s="336">
        <f ca="1" t="shared" si="25"/>
      </c>
      <c r="BQ19" s="176">
        <f t="shared" si="26"/>
        <v>0</v>
      </c>
      <c r="BR19" s="320">
        <f t="shared" si="27"/>
      </c>
      <c r="BS19" s="320">
        <f t="shared" si="28"/>
      </c>
      <c r="BT19" s="153"/>
      <c r="BU19" s="178">
        <f t="shared" si="29"/>
        <v>0</v>
      </c>
      <c r="BV19" s="320">
        <f t="shared" si="30"/>
      </c>
      <c r="BW19" s="320">
        <f t="shared" si="31"/>
      </c>
      <c r="BX19" s="153"/>
      <c r="BY19" s="178">
        <f t="shared" si="32"/>
        <v>0</v>
      </c>
      <c r="BZ19" s="320">
        <f t="shared" si="33"/>
      </c>
      <c r="CA19" s="320">
        <f t="shared" si="34"/>
      </c>
      <c r="CB19" s="153"/>
    </row>
    <row r="20" spans="2:80" ht="13.5" customHeight="1" thickBot="1" thickTop="1">
      <c r="B20" s="372">
        <f>IF(BQ21&lt;&gt;0,"Excess "&amp;BQ21,"")</f>
      </c>
      <c r="C20" s="373">
        <f>SUM(C13:C19)</f>
        <v>0</v>
      </c>
      <c r="D20" s="374"/>
      <c r="E20" s="153"/>
      <c r="F20" s="372">
        <f>IF(BU21&lt;&gt;0,"Excess "&amp;BU21,"")</f>
      </c>
      <c r="G20" s="373">
        <f>SUM(G13:G19)</f>
        <v>0</v>
      </c>
      <c r="H20" s="374"/>
      <c r="I20" s="153"/>
      <c r="J20" s="372">
        <f>IF(BY21&lt;&gt;0,"Excess "&amp;BY21,"")</f>
      </c>
      <c r="K20" s="373">
        <f>SUM(K13:K19)</f>
        <v>0</v>
      </c>
      <c r="L20" s="374"/>
      <c r="M20" s="153"/>
      <c r="N20" s="45"/>
      <c r="O20" s="69"/>
      <c r="P20" s="78"/>
      <c r="Q20" s="97"/>
      <c r="R20" s="238" t="s">
        <v>171</v>
      </c>
      <c r="S20" s="238">
        <f>IF(LEFT(Q20,1)="a",4,IF(LEFT(Q20,1)="b",3,IF(LEFT(Q20,1)="c",2,IF(LEFT(Q20,1)="d",1,0))))*X20</f>
        <v>0</v>
      </c>
      <c r="T20" s="238">
        <f t="shared" si="10"/>
      </c>
      <c r="U20" s="238">
        <f t="shared" si="8"/>
      </c>
      <c r="V20" s="238">
        <f t="shared" si="9"/>
      </c>
      <c r="W20" s="51" t="s">
        <v>98</v>
      </c>
      <c r="X20" s="7">
        <v>3</v>
      </c>
      <c r="Y20" s="18" t="s">
        <v>218</v>
      </c>
      <c r="Z20" s="16" t="s">
        <v>288</v>
      </c>
      <c r="AD20" s="1">
        <v>20</v>
      </c>
      <c r="AE20" s="320">
        <f t="shared" si="0"/>
        <v>2000000</v>
      </c>
      <c r="AG20" s="39" t="str">
        <f aca="true" t="shared" si="35" ref="AG20:AH24">W26</f>
        <v>HSBS</v>
      </c>
      <c r="AH20" s="329">
        <f t="shared" si="35"/>
        <v>3</v>
      </c>
      <c r="AI20" s="330">
        <f>Q26</f>
        <v>0</v>
      </c>
      <c r="AJ20" s="294">
        <f aca="true" t="shared" si="36" ref="AJ20:AJ25">IF(AE20&gt;999999,"",AG20)</f>
      </c>
      <c r="AK20" s="295" t="b">
        <f>IF(OR(LEFT(Q26,1)="T",S26/X26&gt;=2),TRUE,FALSE)</f>
        <v>0</v>
      </c>
      <c r="AL20" s="330">
        <f>IF(P26&gt;0,P26*100,1000000)+IF(LEFT(O26,2)="Sp",1,IF(LEFT(O26,2)="Su",5,IF(LEFT(O26,2)="Fa",9,1000000)))</f>
        <v>2000000</v>
      </c>
      <c r="AM20" s="139"/>
      <c r="AN20" s="77"/>
      <c r="AO20" s="345"/>
      <c r="AU20" s="37" t="s">
        <v>143</v>
      </c>
      <c r="AV20" s="68" t="s">
        <v>208</v>
      </c>
      <c r="BA20" s="336">
        <f ca="1" t="shared" si="25"/>
      </c>
      <c r="BB20" s="336">
        <f ca="1" t="shared" si="25"/>
      </c>
      <c r="BC20" s="336">
        <f ca="1" t="shared" si="25"/>
      </c>
      <c r="BD20" s="336">
        <f ca="1" t="shared" si="25"/>
      </c>
      <c r="BE20" s="336">
        <f ca="1" t="shared" si="25"/>
      </c>
      <c r="BF20" s="336">
        <f ca="1" t="shared" si="25"/>
      </c>
      <c r="BG20" s="336">
        <f ca="1" t="shared" si="25"/>
      </c>
      <c r="BH20" s="336">
        <f ca="1" t="shared" si="25"/>
      </c>
      <c r="BI20" s="336">
        <f ca="1" t="shared" si="25"/>
      </c>
      <c r="BJ20" s="336">
        <f ca="1" t="shared" si="25"/>
      </c>
      <c r="BK20" s="336">
        <f ca="1" t="shared" si="25"/>
      </c>
      <c r="BL20" s="336">
        <f ca="1" t="shared" si="25"/>
      </c>
      <c r="BM20" s="336">
        <f ca="1" t="shared" si="25"/>
      </c>
      <c r="BN20" s="336">
        <f ca="1" t="shared" si="25"/>
      </c>
      <c r="BO20" s="336">
        <f ca="1" t="shared" si="25"/>
      </c>
      <c r="BQ20" s="177">
        <f t="shared" si="26"/>
        <v>0</v>
      </c>
      <c r="BR20" s="320">
        <f t="shared" si="27"/>
      </c>
      <c r="BS20" s="320">
        <f t="shared" si="28"/>
      </c>
      <c r="BT20" s="153"/>
      <c r="BU20" s="178">
        <f t="shared" si="29"/>
        <v>0</v>
      </c>
      <c r="BV20" s="320">
        <f t="shared" si="30"/>
      </c>
      <c r="BW20" s="320">
        <f t="shared" si="31"/>
      </c>
      <c r="BX20" s="153"/>
      <c r="BY20" s="178">
        <f t="shared" si="32"/>
        <v>0</v>
      </c>
      <c r="BZ20" s="320">
        <f t="shared" si="33"/>
      </c>
      <c r="CA20" s="320">
        <f t="shared" si="34"/>
      </c>
      <c r="CB20" s="153"/>
    </row>
    <row r="21" spans="2:80" ht="13.5" customHeight="1" thickBot="1">
      <c r="B21" s="138"/>
      <c r="C21" s="152" t="s">
        <v>137</v>
      </c>
      <c r="D21" s="154">
        <f>IF(SUMIF(E13:E19,"&gt;=0",C13:C19)&gt;0,SUM(E13:E19)/SUMIF(E13:E19,"&gt;=0",C13:C19),"")</f>
      </c>
      <c r="E21" s="153"/>
      <c r="F21" s="139"/>
      <c r="G21" s="152" t="s">
        <v>137</v>
      </c>
      <c r="H21" s="154">
        <f>IF(SUMIF(I13:I19,"&gt;=0",G13:G19)&gt;0,SUM(I13:I19)/SUMIF(I13:I19,"&gt;=0",G13:G19),"")</f>
      </c>
      <c r="I21" s="153"/>
      <c r="J21" s="139"/>
      <c r="K21" s="152" t="s">
        <v>137</v>
      </c>
      <c r="L21" s="154">
        <f>IF(SUMIF(M13:M19,"&gt;=0",K13:K19)&gt;0,SUM(M13:M19)/SUMIF(M13:M19,"&gt;=0",K13:K19),"")</f>
      </c>
      <c r="M21" s="153"/>
      <c r="N21" s="45"/>
      <c r="O21" s="79"/>
      <c r="P21" s="80"/>
      <c r="Q21" s="96"/>
      <c r="R21" s="237" t="s">
        <v>171</v>
      </c>
      <c r="S21" s="237">
        <f>IF(LEFT(Q21,1)="a",4,IF(LEFT(Q21,1)="b",3,IF(LEFT(Q21,1)="c",2,IF(LEFT(Q21,1)="d",1,0))))*X21</f>
        <v>0</v>
      </c>
      <c r="T21" s="237">
        <f t="shared" si="10"/>
      </c>
      <c r="U21" s="237">
        <f t="shared" si="8"/>
      </c>
      <c r="V21" s="237">
        <f t="shared" si="9"/>
      </c>
      <c r="W21" s="50" t="s">
        <v>99</v>
      </c>
      <c r="X21" s="8">
        <v>1</v>
      </c>
      <c r="Y21" s="30" t="s">
        <v>219</v>
      </c>
      <c r="Z21" s="17" t="s">
        <v>298</v>
      </c>
      <c r="AD21" s="1">
        <v>21</v>
      </c>
      <c r="AE21" s="320">
        <f t="shared" si="0"/>
        <v>2000000</v>
      </c>
      <c r="AG21" s="39" t="str">
        <f t="shared" si="35"/>
        <v>HFA</v>
      </c>
      <c r="AH21" s="333">
        <f t="shared" si="35"/>
        <v>3</v>
      </c>
      <c r="AI21" s="39">
        <f>Q27</f>
        <v>0</v>
      </c>
      <c r="AJ21" s="294">
        <f t="shared" si="36"/>
      </c>
      <c r="AK21" s="158" t="b">
        <f>IF(OR(LEFT(Q27,1)="T",S27/X27&gt;=2),TRUE,FALSE)</f>
        <v>0</v>
      </c>
      <c r="AL21" s="320">
        <f>IF(P27&gt;0,P27*100,1000000)+IF(LEFT(O27,2)="Sp",1,IF(LEFT(O27,2)="Su",5,IF(LEFT(O27,2)="Fa",9,1000000)))</f>
        <v>2000000</v>
      </c>
      <c r="AM21" s="139"/>
      <c r="AN21" s="77"/>
      <c r="AV21" s="37" t="s">
        <v>141</v>
      </c>
      <c r="BA21" s="336">
        <f ca="1" t="shared" si="25"/>
      </c>
      <c r="BB21" s="336">
        <f ca="1" t="shared" si="25"/>
      </c>
      <c r="BC21" s="336">
        <f ca="1" t="shared" si="25"/>
      </c>
      <c r="BD21" s="336">
        <f ca="1" t="shared" si="25"/>
      </c>
      <c r="BE21" s="336">
        <f ca="1" t="shared" si="25"/>
      </c>
      <c r="BF21" s="336">
        <f ca="1" t="shared" si="25"/>
      </c>
      <c r="BG21" s="336">
        <f ca="1" t="shared" si="25"/>
      </c>
      <c r="BH21" s="336">
        <f ca="1" t="shared" si="25"/>
      </c>
      <c r="BI21" s="336">
        <f ca="1" t="shared" si="25"/>
      </c>
      <c r="BJ21" s="336">
        <f ca="1" t="shared" si="25"/>
      </c>
      <c r="BK21" s="336">
        <f ca="1" t="shared" si="25"/>
      </c>
      <c r="BL21" s="336">
        <f ca="1" t="shared" si="25"/>
      </c>
      <c r="BM21" s="336">
        <f ca="1" t="shared" si="25"/>
      </c>
      <c r="BN21" s="336">
        <f ca="1" t="shared" si="25"/>
      </c>
      <c r="BO21" s="336">
        <f ca="1" t="shared" si="25"/>
      </c>
      <c r="BQ21" s="177">
        <f t="shared" si="26"/>
        <v>0</v>
      </c>
      <c r="BR21" s="320">
        <f t="shared" si="27"/>
      </c>
      <c r="BS21" s="320">
        <f t="shared" si="28"/>
      </c>
      <c r="BT21" s="153"/>
      <c r="BU21" s="178">
        <f t="shared" si="29"/>
        <v>0</v>
      </c>
      <c r="BV21" s="320">
        <f t="shared" si="30"/>
      </c>
      <c r="BW21" s="320">
        <f t="shared" si="31"/>
      </c>
      <c r="BX21" s="153"/>
      <c r="BY21" s="178">
        <f t="shared" si="32"/>
        <v>0</v>
      </c>
      <c r="BZ21" s="320">
        <f t="shared" si="33"/>
      </c>
      <c r="CA21" s="320">
        <f t="shared" si="34"/>
      </c>
      <c r="CB21" s="153"/>
    </row>
    <row r="22" spans="2:80" ht="13.5" customHeight="1" thickBot="1">
      <c r="B22" s="36"/>
      <c r="C22" s="36"/>
      <c r="D22" s="36"/>
      <c r="E22" s="153"/>
      <c r="F22" s="124"/>
      <c r="G22" s="36"/>
      <c r="H22" s="36"/>
      <c r="I22" s="153"/>
      <c r="J22" s="36"/>
      <c r="K22" s="36"/>
      <c r="L22" s="36"/>
      <c r="M22" s="153"/>
      <c r="N22" s="45"/>
      <c r="O22" s="143" t="s">
        <v>15</v>
      </c>
      <c r="P22" s="144"/>
      <c r="Q22" s="144"/>
      <c r="R22" s="232"/>
      <c r="S22" s="305"/>
      <c r="T22" s="305"/>
      <c r="U22" s="305"/>
      <c r="V22" s="305"/>
      <c r="W22" s="144"/>
      <c r="X22" s="144"/>
      <c r="Y22" s="145"/>
      <c r="Z22" s="278" t="s">
        <v>127</v>
      </c>
      <c r="AD22" s="1">
        <v>22</v>
      </c>
      <c r="AE22" s="320">
        <f t="shared" si="0"/>
        <v>2000000</v>
      </c>
      <c r="AG22" s="39">
        <f t="shared" si="35"/>
        <v>0</v>
      </c>
      <c r="AH22" s="333">
        <f t="shared" si="35"/>
        <v>3</v>
      </c>
      <c r="AI22" s="39">
        <f>Q28</f>
        <v>0</v>
      </c>
      <c r="AJ22" s="294">
        <f t="shared" si="36"/>
      </c>
      <c r="AK22" s="158" t="b">
        <f>IF(OR(LEFT(Q28,1)="T",S28/X28&gt;=2),TRUE,FALSE)</f>
        <v>0</v>
      </c>
      <c r="AL22" s="320">
        <f>IF(P28&gt;0,P28*100,1000000)+IF(LEFT(O28,2)="Sp",1,IF(LEFT(O28,2)="Su",5,IF(LEFT(O28,2)="Fa",9,1000000)))</f>
        <v>2000000</v>
      </c>
      <c r="AM22" s="139"/>
      <c r="AN22" s="77"/>
      <c r="AP22" s="37"/>
      <c r="AQ22" s="37"/>
      <c r="AR22" s="37"/>
      <c r="AV22" s="37" t="s">
        <v>140</v>
      </c>
      <c r="BA22" s="336">
        <f ca="1" t="shared" si="25"/>
      </c>
      <c r="BB22" s="336">
        <f ca="1" t="shared" si="25"/>
      </c>
      <c r="BC22" s="336">
        <f ca="1" t="shared" si="25"/>
      </c>
      <c r="BD22" s="336">
        <f ca="1" t="shared" si="25"/>
      </c>
      <c r="BE22" s="336">
        <f ca="1" t="shared" si="25"/>
      </c>
      <c r="BF22" s="336">
        <f ca="1" t="shared" si="25"/>
      </c>
      <c r="BG22" s="336">
        <f ca="1" t="shared" si="25"/>
      </c>
      <c r="BH22" s="336">
        <f ca="1" t="shared" si="25"/>
      </c>
      <c r="BI22" s="336">
        <f ca="1" t="shared" si="25"/>
      </c>
      <c r="BJ22" s="336">
        <f ca="1" t="shared" si="25"/>
      </c>
      <c r="BK22" s="336">
        <f ca="1" t="shared" si="25"/>
      </c>
      <c r="BL22" s="336">
        <f ca="1" t="shared" si="25"/>
      </c>
      <c r="BM22" s="336">
        <f ca="1" t="shared" si="25"/>
      </c>
      <c r="BN22" s="336">
        <f ca="1" t="shared" si="25"/>
      </c>
      <c r="BO22" s="336">
        <f ca="1" t="shared" si="25"/>
      </c>
      <c r="BQ22" s="138"/>
      <c r="BT22" s="153"/>
      <c r="BU22" s="139"/>
      <c r="BX22" s="153"/>
      <c r="BY22" s="139"/>
      <c r="CB22" s="153"/>
    </row>
    <row r="23" spans="2:67" ht="13.5" customHeight="1" thickBot="1">
      <c r="B23" s="430" t="str">
        <f>IF(OR($D$5="Spring",$D$5="Summer"),"Fall"&amp;" "&amp;$E$5,IF($D$5="Fall","Fall"&amp;" "&amp;$E$5+1,""))</f>
        <v>Fall 2014</v>
      </c>
      <c r="C23" s="431"/>
      <c r="D23" s="432"/>
      <c r="E23" s="156">
        <f>IF(LEFT(B23,2)="Sp",1,IF(LEFT(B23,2)="Su",5,9))+VALUE(RIGHT(B23,4))*100</f>
        <v>201409</v>
      </c>
      <c r="F23" s="430" t="str">
        <f>IF(F11="Spring"&amp;" "&amp;E5+1,"Spring"&amp;" "&amp;E5+2,"Spring"&amp;" "&amp;E5+1)</f>
        <v>Spring 2015</v>
      </c>
      <c r="G23" s="431"/>
      <c r="H23" s="432"/>
      <c r="I23" s="156">
        <f>IF(LEFT(F23,2)="Sp",1,IF(LEFT(F23,2)="Su",5,9))+VALUE(RIGHT(F23,4))*100</f>
        <v>201501</v>
      </c>
      <c r="J23" s="430" t="str">
        <f>IF(J11="Summer"&amp;" "&amp;E5+1,"Summer"&amp;" "&amp;E5+2,"Summer"&amp;" "&amp;E5+1)</f>
        <v>Summer 2015</v>
      </c>
      <c r="K23" s="431"/>
      <c r="L23" s="432"/>
      <c r="M23" s="156">
        <f>IF(LEFT(J23,2)="Sp",1,IF(LEFT(J23,2)="Su",5,9))+VALUE(RIGHT(J23,4))*100</f>
        <v>201505</v>
      </c>
      <c r="N23" s="45"/>
      <c r="O23" s="84"/>
      <c r="P23" s="85"/>
      <c r="Q23" s="95"/>
      <c r="R23" s="236" t="s">
        <v>171</v>
      </c>
      <c r="S23" s="236">
        <f>IF(LEFT(Q23,1)="a",4,IF(LEFT(Q23,1)="b",3,IF(LEFT(Q23,1)="c",2,IF(LEFT(Q23,1)="d",1,0))))*X23</f>
        <v>0</v>
      </c>
      <c r="T23" s="236">
        <f t="shared" si="10"/>
      </c>
      <c r="U23" s="236">
        <f t="shared" si="8"/>
      </c>
      <c r="V23" s="236">
        <f t="shared" si="9"/>
      </c>
      <c r="W23" s="91"/>
      <c r="X23" s="48">
        <f>IF(W23="BYS 119",4,3)</f>
        <v>3</v>
      </c>
      <c r="Y23" s="346" t="str">
        <f>IF(W23="","Choose from BYS 119, CH 123 or PH 113",IF(W23="BYS 119","Principles of Biology",IF(W23="CH 123","General Chemistry II","General Physics with Calculus III")))</f>
        <v>Choose from BYS 119, CH 123 or PH 113</v>
      </c>
      <c r="Z23" s="455" t="s">
        <v>206</v>
      </c>
      <c r="AD23" s="1">
        <v>23</v>
      </c>
      <c r="AE23" s="320">
        <f t="shared" si="0"/>
        <v>2000000</v>
      </c>
      <c r="AG23" s="39">
        <f t="shared" si="35"/>
        <v>0</v>
      </c>
      <c r="AH23" s="333">
        <f t="shared" si="35"/>
        <v>3</v>
      </c>
      <c r="AI23" s="39">
        <f>Q29</f>
        <v>0</v>
      </c>
      <c r="AJ23" s="294">
        <f t="shared" si="36"/>
      </c>
      <c r="AK23" s="158" t="b">
        <f>IF(OR(LEFT(Q29,1)="T",S29/X29&gt;=2),TRUE,FALSE)</f>
        <v>0</v>
      </c>
      <c r="AL23" s="320">
        <f>IF(P29&gt;0,P29*100,1000000)+IF(LEFT(O29,2)="Sp",1,IF(LEFT(O29,2)="Su",5,IF(LEFT(O29,2)="Fa",9,1000000)))</f>
        <v>2000000</v>
      </c>
      <c r="AM23" s="139"/>
      <c r="AN23" s="77"/>
      <c r="AP23" s="37"/>
      <c r="AQ23" s="37"/>
      <c r="AV23" s="37" t="s">
        <v>142</v>
      </c>
      <c r="BA23" s="336">
        <f ca="1" t="shared" si="25"/>
      </c>
      <c r="BB23" s="336">
        <f ca="1" t="shared" si="25"/>
      </c>
      <c r="BC23" s="336">
        <f ca="1" t="shared" si="25"/>
      </c>
      <c r="BD23" s="336">
        <f ca="1" t="shared" si="25"/>
      </c>
      <c r="BE23" s="336">
        <f ca="1" t="shared" si="25"/>
      </c>
      <c r="BF23" s="336">
        <f ca="1" t="shared" si="25"/>
      </c>
      <c r="BG23" s="336">
        <f ca="1" t="shared" si="25"/>
      </c>
      <c r="BH23" s="336">
        <f ca="1" t="shared" si="25"/>
      </c>
      <c r="BI23" s="336">
        <f ca="1" t="shared" si="25"/>
      </c>
      <c r="BJ23" s="336">
        <f ca="1" t="shared" si="25"/>
      </c>
      <c r="BK23" s="336">
        <f ca="1" t="shared" si="25"/>
      </c>
      <c r="BL23" s="336">
        <f ca="1" t="shared" si="25"/>
      </c>
      <c r="BM23" s="336">
        <f ca="1" t="shared" si="25"/>
      </c>
      <c r="BN23" s="336">
        <f ca="1" t="shared" si="25"/>
      </c>
      <c r="BO23" s="336">
        <f ca="1" t="shared" si="25"/>
      </c>
    </row>
    <row r="24" spans="2:80" ht="13.5" customHeight="1" thickBot="1">
      <c r="B24" s="135" t="s">
        <v>2</v>
      </c>
      <c r="C24" s="136" t="s">
        <v>3</v>
      </c>
      <c r="D24" s="137" t="s">
        <v>4</v>
      </c>
      <c r="E24" s="153"/>
      <c r="F24" s="135" t="s">
        <v>2</v>
      </c>
      <c r="G24" s="136" t="s">
        <v>3</v>
      </c>
      <c r="H24" s="137" t="s">
        <v>4</v>
      </c>
      <c r="I24" s="153"/>
      <c r="J24" s="135" t="s">
        <v>2</v>
      </c>
      <c r="K24" s="136" t="s">
        <v>3</v>
      </c>
      <c r="L24" s="137" t="s">
        <v>4</v>
      </c>
      <c r="M24" s="153"/>
      <c r="N24" s="350" t="b">
        <f>W23="BYS 119"</f>
        <v>0</v>
      </c>
      <c r="O24" s="79"/>
      <c r="P24" s="80"/>
      <c r="Q24" s="96"/>
      <c r="R24" s="237" t="s">
        <v>171</v>
      </c>
      <c r="S24" s="237">
        <f>IF(LEFT(Q24,1)="a",4,IF(LEFT(Q24,1)="b",3,IF(LEFT(Q24,1)="c",2,IF(LEFT(Q24,1)="d",1,0))))*X24</f>
        <v>0</v>
      </c>
      <c r="T24" s="237">
        <f t="shared" si="10"/>
      </c>
      <c r="U24" s="237">
        <f t="shared" si="8"/>
      </c>
      <c r="V24" s="237">
        <f t="shared" si="9"/>
      </c>
      <c r="W24" s="317">
        <f>IF(W23="PH 113","PH 116",IF(W23="CH 123","CH 126",""))</f>
      </c>
      <c r="X24" s="8">
        <f>IF(X23=4,0,1)</f>
        <v>1</v>
      </c>
      <c r="Y24" s="347" t="str">
        <f>IF(W23="","Associated Lab course",IF(W23="BYS 119","",IF(W23="CH 123","General Chemistry Laboratory II","General Physics Laboratory III")))</f>
        <v>Associated Lab course</v>
      </c>
      <c r="Z24" s="455"/>
      <c r="AD24" s="1">
        <v>24</v>
      </c>
      <c r="AE24" s="320">
        <f t="shared" si="0"/>
        <v>2000000</v>
      </c>
      <c r="AG24" s="39">
        <f t="shared" si="35"/>
        <v>0</v>
      </c>
      <c r="AH24" s="333">
        <f t="shared" si="35"/>
        <v>3</v>
      </c>
      <c r="AI24" s="39">
        <f>Q30</f>
        <v>0</v>
      </c>
      <c r="AJ24" s="294">
        <f t="shared" si="36"/>
      </c>
      <c r="AK24" s="158" t="b">
        <f>IF(OR(LEFT(Q30,1)="T",S30/X30&gt;=2),TRUE,FALSE)</f>
        <v>0</v>
      </c>
      <c r="AL24" s="320">
        <f>IF(P30&gt;0,P30*100,1000000)+IF(LEFT(O30,2)="Sp",1,IF(LEFT(O30,2)="Su",5,IF(LEFT(O30,2)="Fa",9,1000000)))</f>
        <v>2000000</v>
      </c>
      <c r="AM24" s="139"/>
      <c r="AN24" s="77"/>
      <c r="AV24" s="37" t="s">
        <v>309</v>
      </c>
      <c r="BA24" s="336">
        <f ca="1" t="shared" si="25"/>
      </c>
      <c r="BB24" s="336">
        <f ca="1" t="shared" si="25"/>
      </c>
      <c r="BC24" s="336">
        <f ca="1" t="shared" si="25"/>
      </c>
      <c r="BD24" s="336">
        <f ca="1" t="shared" si="25"/>
      </c>
      <c r="BE24" s="336">
        <f ca="1" t="shared" si="25"/>
      </c>
      <c r="BF24" s="336">
        <f ca="1" t="shared" si="25"/>
      </c>
      <c r="BG24" s="336">
        <f ca="1" t="shared" si="25"/>
      </c>
      <c r="BH24" s="336">
        <f ca="1" t="shared" si="25"/>
      </c>
      <c r="BI24" s="336">
        <f ca="1" t="shared" si="25"/>
      </c>
      <c r="BJ24" s="336">
        <f ca="1" t="shared" si="25"/>
      </c>
      <c r="BK24" s="336">
        <f ca="1" t="shared" si="25"/>
      </c>
      <c r="BL24" s="336">
        <f ca="1" t="shared" si="25"/>
      </c>
      <c r="BM24" s="336">
        <f ca="1" t="shared" si="25"/>
      </c>
      <c r="BN24" s="336">
        <f ca="1" t="shared" si="25"/>
      </c>
      <c r="BO24" s="336">
        <f ca="1" t="shared" si="25"/>
      </c>
      <c r="BQ24" s="179">
        <f>E23</f>
        <v>201409</v>
      </c>
      <c r="BR24" s="180"/>
      <c r="BS24" s="181"/>
      <c r="BT24" s="153"/>
      <c r="BU24" s="179">
        <f>I23</f>
        <v>201501</v>
      </c>
      <c r="BV24" s="180"/>
      <c r="BW24" s="181"/>
      <c r="BX24" s="153"/>
      <c r="BY24" s="179">
        <f>M23</f>
        <v>201505</v>
      </c>
      <c r="BZ24" s="180"/>
      <c r="CA24" s="181"/>
      <c r="CB24" s="153"/>
    </row>
    <row r="25" spans="2:80" ht="13.5" customHeight="1" thickBot="1">
      <c r="B25" s="130">
        <f aca="true" t="shared" si="37" ref="B25:B31">IF(BR26=BS26,BR26,"Error "&amp;BQ26)</f>
      </c>
      <c r="C25" s="39">
        <f aca="true" t="shared" si="38" ref="C25:C31">IF(BQ26&gt;0,INDEX(MECourses,BQ26,2),"")</f>
      </c>
      <c r="D25" s="43">
        <f aca="true" t="shared" si="39" ref="D25:D31">IF(BQ26&gt;0,INDEX(MECourses,BQ26,3),"")</f>
      </c>
      <c r="E25" s="153">
        <f>IF(LEFT(D25,1)="a",4*C25,IF(LEFT(D25,1)="b",3*C25,IF(LEFT(D25,1)="c",2*C25,IF(LEFT(D25,1)="d",C25,IF(LEFT(D25,1)="f",0,"")))))</f>
      </c>
      <c r="F25" s="130">
        <f aca="true" t="shared" si="40" ref="F25:F31">IF(BV26=BW26,BV26,"Error "&amp;BU26)</f>
      </c>
      <c r="G25" s="39">
        <f aca="true" t="shared" si="41" ref="G25:G31">IF(BU26&gt;0,INDEX(MECourses,BU26,2),"")</f>
      </c>
      <c r="H25" s="43">
        <f aca="true" t="shared" si="42" ref="H25:H31">IF(BU26&gt;0,INDEX(MECourses,BU26,3),"")</f>
      </c>
      <c r="I25" s="153">
        <f>IF(LEFT(H25,1)="a",4*G25,IF(LEFT(H25,1)="b",3*G25,IF(LEFT(H25,1)="c",2*G25,IF(LEFT(H25,1)="d",G25,IF(LEFT(H25,1)="f",0,"")))))</f>
      </c>
      <c r="J25" s="130">
        <f aca="true" t="shared" si="43" ref="J25:J31">IF(BZ26=CA26,BZ26,"Error "&amp;BY26)</f>
      </c>
      <c r="K25" s="39">
        <f aca="true" t="shared" si="44" ref="K25:K31">IF(BY26&gt;0,INDEX(MECourses,BY26,2),"")</f>
      </c>
      <c r="L25" s="43">
        <f aca="true" t="shared" si="45" ref="L25:L31">IF(BY26&gt;0,INDEX(MECourses,BY26,3),"")</f>
      </c>
      <c r="M25" s="153">
        <f>IF(LEFT(L25,1)="a",4*K25,IF(LEFT(L25,1)="b",3*K25,IF(LEFT(L25,1)="c",2*K25,IF(LEFT(L25,1)="d",K25,IF(LEFT(L25,1)="f",0,"")))))</f>
      </c>
      <c r="N25" s="45"/>
      <c r="O25" s="257" t="s">
        <v>258</v>
      </c>
      <c r="P25" s="258"/>
      <c r="Q25" s="258"/>
      <c r="R25" s="231"/>
      <c r="S25" s="304"/>
      <c r="T25" s="304"/>
      <c r="U25" s="304"/>
      <c r="V25" s="304"/>
      <c r="W25" s="258"/>
      <c r="X25" s="258"/>
      <c r="Y25" s="259"/>
      <c r="Z25" s="362" t="s">
        <v>55</v>
      </c>
      <c r="AD25" s="1">
        <v>25</v>
      </c>
      <c r="AE25" s="320">
        <f t="shared" si="0"/>
        <v>2000000</v>
      </c>
      <c r="AG25" s="39" t="str">
        <f aca="true" t="shared" si="46" ref="AG25:AH27">W32</f>
        <v>FYE 101</v>
      </c>
      <c r="AH25" s="333">
        <f t="shared" si="46"/>
        <v>1</v>
      </c>
      <c r="AI25" s="39">
        <f>Q32</f>
        <v>0</v>
      </c>
      <c r="AJ25" s="294">
        <f t="shared" si="36"/>
      </c>
      <c r="AK25" s="158" t="b">
        <f>IF(OR(X32=0,X32=""),FALSE,IF(OR(LEFT(Q32,1)="T",S32/X32&gt;=2),TRUE,FALSE))</f>
        <v>0</v>
      </c>
      <c r="AL25" s="320">
        <f>IF(P32&gt;0,P32*100,1000000)+IF(LEFT(O32,2)="Sp",1,IF(LEFT(O32,2)="Su",5,IF(LEFT(O32,2)="Fa",9,1000000)))</f>
        <v>2000000</v>
      </c>
      <c r="AM25" s="139"/>
      <c r="AN25" s="77"/>
      <c r="AV25" s="37" t="s">
        <v>143</v>
      </c>
      <c r="BA25" s="336">
        <f ca="1" t="shared" si="25"/>
      </c>
      <c r="BB25" s="336">
        <f ca="1" t="shared" si="25"/>
      </c>
      <c r="BC25" s="336">
        <f ca="1" t="shared" si="25"/>
      </c>
      <c r="BD25" s="336">
        <f ca="1" t="shared" si="25"/>
      </c>
      <c r="BE25" s="336">
        <f ca="1" t="shared" si="25"/>
      </c>
      <c r="BF25" s="336">
        <f ca="1" t="shared" si="25"/>
      </c>
      <c r="BG25" s="336">
        <f ca="1" t="shared" si="25"/>
      </c>
      <c r="BH25" s="336">
        <f ca="1" t="shared" si="25"/>
      </c>
      <c r="BI25" s="336">
        <f ca="1" t="shared" si="25"/>
      </c>
      <c r="BJ25" s="336">
        <f ca="1" t="shared" si="25"/>
      </c>
      <c r="BK25" s="336">
        <f ca="1" t="shared" si="25"/>
      </c>
      <c r="BL25" s="336">
        <f ca="1" t="shared" si="25"/>
      </c>
      <c r="BM25" s="336">
        <f ca="1" t="shared" si="25"/>
      </c>
      <c r="BN25" s="336">
        <f ca="1" t="shared" si="25"/>
      </c>
      <c r="BO25" s="336">
        <f ca="1" t="shared" si="25"/>
      </c>
      <c r="BQ25" s="340" t="s">
        <v>153</v>
      </c>
      <c r="BR25" s="340" t="s">
        <v>153</v>
      </c>
      <c r="BS25" s="340" t="s">
        <v>156</v>
      </c>
      <c r="BT25" s="153"/>
      <c r="BU25" s="340" t="s">
        <v>153</v>
      </c>
      <c r="BV25" s="340" t="s">
        <v>155</v>
      </c>
      <c r="BW25" s="340" t="s">
        <v>156</v>
      </c>
      <c r="BX25" s="153"/>
      <c r="BY25" s="340" t="s">
        <v>153</v>
      </c>
      <c r="BZ25" s="340" t="s">
        <v>155</v>
      </c>
      <c r="CA25" s="340" t="s">
        <v>156</v>
      </c>
      <c r="CB25" s="153"/>
    </row>
    <row r="26" spans="2:80" ht="13.5" customHeight="1">
      <c r="B26" s="130">
        <f t="shared" si="37"/>
      </c>
      <c r="C26" s="39">
        <f t="shared" si="38"/>
      </c>
      <c r="D26" s="43">
        <f t="shared" si="39"/>
      </c>
      <c r="E26" s="153">
        <f aca="true" t="shared" si="47" ref="E26:E31">IF(LEFT(D26,1)="a",4*C26,IF(LEFT(D26,1)="b",3*C26,IF(LEFT(D26,1)="c",2*C26,IF(LEFT(D26,1)="d",C26,IF(LEFT(D26,1)="f",0,"")))))</f>
      </c>
      <c r="F26" s="130">
        <f t="shared" si="40"/>
      </c>
      <c r="G26" s="39">
        <f t="shared" si="41"/>
      </c>
      <c r="H26" s="43">
        <f t="shared" si="42"/>
      </c>
      <c r="I26" s="153">
        <f aca="true" t="shared" si="48" ref="I26:I31">IF(LEFT(H26,1)="a",4*G26,IF(LEFT(H26,1)="b",3*G26,IF(LEFT(H26,1)="c",2*G26,IF(LEFT(H26,1)="d",G26,IF(LEFT(H26,1)="f",0,"")))))</f>
      </c>
      <c r="J26" s="130">
        <f t="shared" si="43"/>
      </c>
      <c r="K26" s="39">
        <f t="shared" si="44"/>
      </c>
      <c r="L26" s="43">
        <f t="shared" si="45"/>
      </c>
      <c r="M26" s="153">
        <f aca="true" t="shared" si="49" ref="M26:M31">IF(LEFT(L26,1)="a",4*K26,IF(LEFT(L26,1)="b",3*K26,IF(LEFT(L26,1)="c",2*K26,IF(LEFT(L26,1)="d",K26,IF(LEFT(L26,1)="f",0,"")))))</f>
      </c>
      <c r="N26" s="45"/>
      <c r="O26" s="84"/>
      <c r="P26" s="85"/>
      <c r="Q26" s="95"/>
      <c r="R26" s="236" t="s">
        <v>171</v>
      </c>
      <c r="S26" s="236">
        <f aca="true" t="shared" si="50" ref="S26:S34">IF(LEFT(Q26,1)="a",4,IF(LEFT(Q26,1)="b",3,IF(LEFT(Q26,1)="c",2,IF(LEFT(Q26,1)="d",1,0))))*X26</f>
        <v>0</v>
      </c>
      <c r="T26" s="236">
        <f t="shared" si="10"/>
      </c>
      <c r="U26" s="236">
        <f t="shared" si="8"/>
      </c>
      <c r="V26" s="236">
        <f t="shared" si="9"/>
      </c>
      <c r="W26" s="91" t="s">
        <v>220</v>
      </c>
      <c r="X26" s="48">
        <v>3</v>
      </c>
      <c r="Y26" s="283" t="s">
        <v>244</v>
      </c>
      <c r="Z26" s="446" t="s">
        <v>135</v>
      </c>
      <c r="AD26" s="1">
        <v>26</v>
      </c>
      <c r="AE26" s="320">
        <f>IF(AND(AK26,AL26&gt;999999),10101,AL26)</f>
        <v>2000000</v>
      </c>
      <c r="AG26" s="39">
        <f t="shared" si="46"/>
        <v>0</v>
      </c>
      <c r="AH26" s="333">
        <f t="shared" si="46"/>
        <v>2</v>
      </c>
      <c r="AI26" s="39">
        <f>Q33</f>
        <v>0</v>
      </c>
      <c r="AJ26" s="294">
        <f>IF(AE26&gt;999999,"",AG26)</f>
      </c>
      <c r="AK26" s="158" t="b">
        <f>IF(OR(X33=0,X33=""),FALSE,IF(OR(LEFT(Q33,1)="T",S33/X33&gt;=2),TRUE,FALSE))</f>
        <v>0</v>
      </c>
      <c r="AL26" s="320">
        <f>IF(P33&gt;0,P33*100,1000000)+IF(LEFT(O33,2)="Sp",1,IF(LEFT(O33,2)="Su",5,IF(LEFT(O33,2)="Fa",9,1000000)))</f>
        <v>2000000</v>
      </c>
      <c r="AM26" s="139"/>
      <c r="AN26" s="77"/>
      <c r="AO26" s="45" t="b">
        <f>AND(AE26&gt;999999,AH25&gt;=3)</f>
        <v>0</v>
      </c>
      <c r="BA26" s="336">
        <f ca="1" t="shared" si="25"/>
      </c>
      <c r="BB26" s="336">
        <f ca="1" t="shared" si="25"/>
      </c>
      <c r="BC26" s="336">
        <f ca="1" t="shared" si="25"/>
      </c>
      <c r="BD26" s="336">
        <f ca="1" t="shared" si="25"/>
      </c>
      <c r="BE26" s="336">
        <f ca="1" t="shared" si="25"/>
      </c>
      <c r="BF26" s="336">
        <f ca="1" t="shared" si="25"/>
      </c>
      <c r="BG26" s="336">
        <f ca="1" t="shared" si="25"/>
      </c>
      <c r="BH26" s="336">
        <f ca="1" t="shared" si="25"/>
      </c>
      <c r="BI26" s="336">
        <f ca="1" t="shared" si="25"/>
      </c>
      <c r="BJ26" s="336">
        <f ca="1" t="shared" si="25"/>
      </c>
      <c r="BK26" s="336">
        <f ca="1" t="shared" si="25"/>
      </c>
      <c r="BL26" s="336">
        <f ca="1" t="shared" si="25"/>
      </c>
      <c r="BM26" s="336">
        <f ca="1" t="shared" si="25"/>
      </c>
      <c r="BN26" s="336">
        <f ca="1" t="shared" si="25"/>
      </c>
      <c r="BO26" s="336">
        <f ca="1" t="shared" si="25"/>
      </c>
      <c r="BQ26" s="176">
        <f aca="true" t="shared" si="51" ref="BQ26:BQ33">BD82</f>
        <v>0</v>
      </c>
      <c r="BR26" s="320">
        <f aca="true" t="shared" si="52" ref="BR26:BR33">IF(BQ26&gt;0,INDEX(MECourses,BQ26,1),"")</f>
      </c>
      <c r="BS26" s="320">
        <f aca="true" t="shared" si="53" ref="BS26:BS33">IF(BQ26&gt;0,INDEX(MECourses,BQ26,4),"")</f>
      </c>
      <c r="BT26" s="153"/>
      <c r="BU26" s="176">
        <f aca="true" t="shared" si="54" ref="BU26:BU33">BE82</f>
        <v>0</v>
      </c>
      <c r="BV26" s="320">
        <f aca="true" t="shared" si="55" ref="BV26:BV33">IF(BU26&gt;0,INDEX(MECourses,BU26,1),"")</f>
      </c>
      <c r="BW26" s="320">
        <f aca="true" t="shared" si="56" ref="BW26:BW33">IF(BU26&gt;0,INDEX(MECourses,BU26,4),"")</f>
      </c>
      <c r="BX26" s="153"/>
      <c r="BY26" s="176">
        <f aca="true" t="shared" si="57" ref="BY26:BY33">BF82</f>
        <v>0</v>
      </c>
      <c r="BZ26" s="320">
        <f aca="true" t="shared" si="58" ref="BZ26:BZ33">IF(BY26&gt;0,INDEX(MECourses,BY26,1),"")</f>
      </c>
      <c r="CA26" s="320">
        <f aca="true" t="shared" si="59" ref="CA26:CA33">IF(BY26&gt;0,INDEX(MECourses,BY26,4),"")</f>
      </c>
      <c r="CB26" s="153"/>
    </row>
    <row r="27" spans="2:80" ht="13.5" customHeight="1">
      <c r="B27" s="130">
        <f t="shared" si="37"/>
      </c>
      <c r="C27" s="39">
        <f t="shared" si="38"/>
      </c>
      <c r="D27" s="43">
        <f t="shared" si="39"/>
      </c>
      <c r="E27" s="153">
        <f t="shared" si="47"/>
      </c>
      <c r="F27" s="130">
        <f t="shared" si="40"/>
      </c>
      <c r="G27" s="39">
        <f t="shared" si="41"/>
      </c>
      <c r="H27" s="43">
        <f t="shared" si="42"/>
      </c>
      <c r="I27" s="153">
        <f t="shared" si="48"/>
      </c>
      <c r="J27" s="130">
        <f t="shared" si="43"/>
      </c>
      <c r="K27" s="39">
        <f t="shared" si="44"/>
      </c>
      <c r="L27" s="43">
        <f t="shared" si="45"/>
      </c>
      <c r="M27" s="153">
        <f t="shared" si="49"/>
      </c>
      <c r="N27" s="45"/>
      <c r="O27" s="69"/>
      <c r="P27" s="78"/>
      <c r="Q27" s="97"/>
      <c r="R27" s="238" t="s">
        <v>171</v>
      </c>
      <c r="S27" s="238">
        <f t="shared" si="50"/>
        <v>0</v>
      </c>
      <c r="T27" s="238">
        <f t="shared" si="10"/>
      </c>
      <c r="U27" s="238">
        <f t="shared" si="8"/>
      </c>
      <c r="V27" s="238">
        <f t="shared" si="9"/>
      </c>
      <c r="W27" s="92" t="s">
        <v>224</v>
      </c>
      <c r="X27" s="7">
        <v>3</v>
      </c>
      <c r="Y27" s="265" t="s">
        <v>221</v>
      </c>
      <c r="Z27" s="447"/>
      <c r="AD27" s="1">
        <v>27</v>
      </c>
      <c r="AE27" s="320">
        <f>IF(AND(AK27,AL27&gt;999999),10101,AL27)</f>
        <v>2000000</v>
      </c>
      <c r="AG27" s="39">
        <f t="shared" si="46"/>
        <v>0</v>
      </c>
      <c r="AH27" s="333">
        <f t="shared" si="46"/>
        <v>0</v>
      </c>
      <c r="AI27" s="39">
        <f>Q34</f>
        <v>0</v>
      </c>
      <c r="AJ27" s="294">
        <f>IF(AE27&gt;999999,"",AG27)</f>
      </c>
      <c r="AK27" s="158" t="b">
        <f>IF(OR(X34=0,X34=""),FALSE,IF(OR(LEFT(Q34,1)="T",S34/X34&gt;=2),TRUE,FALSE))</f>
        <v>0</v>
      </c>
      <c r="AL27" s="320">
        <f>IF(P34&gt;0,P34*100,1000000)+IF(LEFT(O34,2)="Sp",1,IF(LEFT(O34,2)="Su",5,IF(LEFT(O34,2)="Fa",9,1000000)))</f>
        <v>2000000</v>
      </c>
      <c r="AN27" s="77"/>
      <c r="AO27" s="45" t="b">
        <f>AND(AE27&gt;999999,SUM(AH25:AH26)&gt;=3)</f>
        <v>1</v>
      </c>
      <c r="BA27" s="336">
        <f ca="1" t="shared" si="25"/>
      </c>
      <c r="BB27" s="336">
        <f ca="1" t="shared" si="25"/>
      </c>
      <c r="BC27" s="336">
        <f ca="1" t="shared" si="25"/>
      </c>
      <c r="BD27" s="336">
        <f ca="1" t="shared" si="25"/>
      </c>
      <c r="BE27" s="336">
        <f ca="1" t="shared" si="25"/>
      </c>
      <c r="BF27" s="336">
        <f ca="1" t="shared" si="25"/>
      </c>
      <c r="BG27" s="336">
        <f ca="1" t="shared" si="25"/>
      </c>
      <c r="BH27" s="336">
        <f ca="1" t="shared" si="25"/>
      </c>
      <c r="BI27" s="336">
        <f ca="1" t="shared" si="25"/>
      </c>
      <c r="BJ27" s="336">
        <f ca="1" t="shared" si="25"/>
      </c>
      <c r="BK27" s="336">
        <f ca="1" t="shared" si="25"/>
      </c>
      <c r="BL27" s="336">
        <f ca="1" t="shared" si="25"/>
      </c>
      <c r="BM27" s="336">
        <f ca="1" t="shared" si="25"/>
      </c>
      <c r="BN27" s="336">
        <f ca="1" t="shared" si="25"/>
      </c>
      <c r="BO27" s="336">
        <f ca="1" t="shared" si="25"/>
      </c>
      <c r="BQ27" s="178">
        <f t="shared" si="51"/>
        <v>0</v>
      </c>
      <c r="BR27" s="320">
        <f t="shared" si="52"/>
      </c>
      <c r="BS27" s="320">
        <f t="shared" si="53"/>
      </c>
      <c r="BT27" s="153"/>
      <c r="BU27" s="178">
        <f t="shared" si="54"/>
        <v>0</v>
      </c>
      <c r="BV27" s="320">
        <f t="shared" si="55"/>
      </c>
      <c r="BW27" s="320">
        <f t="shared" si="56"/>
      </c>
      <c r="BX27" s="153"/>
      <c r="BY27" s="178">
        <f t="shared" si="57"/>
        <v>0</v>
      </c>
      <c r="BZ27" s="320">
        <f t="shared" si="58"/>
      </c>
      <c r="CA27" s="320">
        <f t="shared" si="59"/>
      </c>
      <c r="CB27" s="153"/>
    </row>
    <row r="28" spans="2:80" ht="13.5" customHeight="1">
      <c r="B28" s="130">
        <f t="shared" si="37"/>
      </c>
      <c r="C28" s="39">
        <f t="shared" si="38"/>
      </c>
      <c r="D28" s="43">
        <f t="shared" si="39"/>
      </c>
      <c r="E28" s="153">
        <f t="shared" si="47"/>
      </c>
      <c r="F28" s="130">
        <f t="shared" si="40"/>
      </c>
      <c r="G28" s="39">
        <f t="shared" si="41"/>
      </c>
      <c r="H28" s="43">
        <f t="shared" si="42"/>
      </c>
      <c r="I28" s="318">
        <f t="shared" si="48"/>
      </c>
      <c r="J28" s="130">
        <f t="shared" si="43"/>
      </c>
      <c r="K28" s="39">
        <f t="shared" si="44"/>
      </c>
      <c r="L28" s="43">
        <f t="shared" si="45"/>
      </c>
      <c r="M28" s="153">
        <f t="shared" si="49"/>
      </c>
      <c r="N28" s="45"/>
      <c r="O28" s="127"/>
      <c r="P28" s="279"/>
      <c r="Q28" s="228"/>
      <c r="R28" s="239" t="s">
        <v>171</v>
      </c>
      <c r="S28" s="239">
        <f t="shared" si="50"/>
        <v>0</v>
      </c>
      <c r="T28" s="239">
        <f t="shared" si="10"/>
      </c>
      <c r="U28" s="239">
        <f t="shared" si="8"/>
      </c>
      <c r="V28" s="239">
        <f t="shared" si="9"/>
      </c>
      <c r="W28" s="284"/>
      <c r="X28" s="53">
        <v>3</v>
      </c>
      <c r="Y28" s="286" t="s">
        <v>223</v>
      </c>
      <c r="Z28" s="456" t="s">
        <v>260</v>
      </c>
      <c r="AD28" s="1">
        <v>28</v>
      </c>
      <c r="AE28" s="320">
        <f t="shared" si="0"/>
        <v>2000000</v>
      </c>
      <c r="AG28" s="39" t="str">
        <f aca="true" t="shared" si="60" ref="AG28:AH30">W36</f>
        <v>MAE 110</v>
      </c>
      <c r="AH28" s="329">
        <f t="shared" si="60"/>
        <v>3</v>
      </c>
      <c r="AI28" s="330">
        <f>Q36</f>
        <v>0</v>
      </c>
      <c r="AJ28" s="312">
        <f>IF(AN28="y",AG28,IF(AE28=10101,AG28,IF(AE28&gt;999999,"",IF(AE28&gt;201306,"ERROR Course no longer offered",IF(AND(AE28&lt;AE58,AE58&lt;999999),"PREREQ ERROR_MA 112",AG28)))))</f>
      </c>
      <c r="AK28" s="295" t="b">
        <f>IF(OR(LEFT(Q36,1)="T",S36/X36&gt;=2),TRUE,FALSE)</f>
        <v>0</v>
      </c>
      <c r="AL28" s="330">
        <f>IF(P36&gt;0,P36*100,1000000)+IF(LEFT(O36,2)="Sp",1,IF(LEFT(O36,2)="Su",5,IF(LEFT(O36,2)="Fa",9,1000000)))</f>
        <v>2000000</v>
      </c>
      <c r="AM28" s="139"/>
      <c r="AN28" s="77"/>
      <c r="AO28" s="37" t="b">
        <f>AE28&gt;999999</f>
        <v>1</v>
      </c>
      <c r="BA28" s="336">
        <f ca="1" t="shared" si="25"/>
      </c>
      <c r="BB28" s="336">
        <f ca="1" t="shared" si="25"/>
      </c>
      <c r="BC28" s="336">
        <f ca="1" t="shared" si="25"/>
      </c>
      <c r="BD28" s="336">
        <f ca="1" t="shared" si="25"/>
      </c>
      <c r="BE28" s="336">
        <f ca="1" t="shared" si="25"/>
      </c>
      <c r="BF28" s="336">
        <f ca="1" t="shared" si="25"/>
      </c>
      <c r="BG28" s="336">
        <f ca="1" t="shared" si="25"/>
      </c>
      <c r="BH28" s="336">
        <f ca="1" t="shared" si="25"/>
      </c>
      <c r="BI28" s="336">
        <f ca="1" t="shared" si="25"/>
      </c>
      <c r="BJ28" s="336">
        <f ca="1" t="shared" si="25"/>
      </c>
      <c r="BK28" s="336">
        <f ca="1" t="shared" si="25"/>
      </c>
      <c r="BL28" s="336">
        <f ca="1" t="shared" si="25"/>
      </c>
      <c r="BM28" s="336">
        <f ca="1" t="shared" si="25"/>
      </c>
      <c r="BN28" s="336">
        <f ca="1" t="shared" si="25"/>
      </c>
      <c r="BO28" s="336">
        <f ca="1" t="shared" si="25"/>
      </c>
      <c r="BQ28" s="178">
        <f t="shared" si="51"/>
        <v>0</v>
      </c>
      <c r="BR28" s="320">
        <f t="shared" si="52"/>
      </c>
      <c r="BS28" s="320">
        <f t="shared" si="53"/>
      </c>
      <c r="BT28" s="153"/>
      <c r="BU28" s="178">
        <f t="shared" si="54"/>
        <v>0</v>
      </c>
      <c r="BV28" s="320">
        <f t="shared" si="55"/>
      </c>
      <c r="BW28" s="320">
        <f t="shared" si="56"/>
      </c>
      <c r="BX28" s="153"/>
      <c r="BY28" s="178">
        <f t="shared" si="57"/>
        <v>0</v>
      </c>
      <c r="BZ28" s="320">
        <f t="shared" si="58"/>
      </c>
      <c r="CA28" s="320">
        <f t="shared" si="59"/>
      </c>
      <c r="CB28" s="153"/>
    </row>
    <row r="29" spans="2:80" ht="13.5" customHeight="1">
      <c r="B29" s="130">
        <f t="shared" si="37"/>
      </c>
      <c r="C29" s="39">
        <f t="shared" si="38"/>
      </c>
      <c r="D29" s="43">
        <f t="shared" si="39"/>
      </c>
      <c r="E29" s="153">
        <f t="shared" si="47"/>
      </c>
      <c r="F29" s="130">
        <f t="shared" si="40"/>
      </c>
      <c r="G29" s="39">
        <f t="shared" si="41"/>
      </c>
      <c r="H29" s="43">
        <f t="shared" si="42"/>
      </c>
      <c r="I29" s="318">
        <f t="shared" si="48"/>
      </c>
      <c r="J29" s="130">
        <f t="shared" si="43"/>
      </c>
      <c r="K29" s="39">
        <f t="shared" si="44"/>
      </c>
      <c r="L29" s="43">
        <f t="shared" si="45"/>
      </c>
      <c r="M29" s="153">
        <f t="shared" si="49"/>
      </c>
      <c r="N29" s="45"/>
      <c r="O29" s="69"/>
      <c r="P29" s="78"/>
      <c r="Q29" s="97"/>
      <c r="R29" s="238" t="s">
        <v>171</v>
      </c>
      <c r="S29" s="238">
        <f t="shared" si="50"/>
        <v>0</v>
      </c>
      <c r="T29" s="238">
        <f t="shared" si="10"/>
      </c>
      <c r="U29" s="238">
        <f t="shared" si="8"/>
      </c>
      <c r="V29" s="238">
        <f t="shared" si="9"/>
      </c>
      <c r="W29" s="92"/>
      <c r="X29" s="7">
        <v>3</v>
      </c>
      <c r="Y29" s="286" t="s">
        <v>223</v>
      </c>
      <c r="Z29" s="444"/>
      <c r="AD29" s="1">
        <v>29</v>
      </c>
      <c r="AE29" s="320">
        <f t="shared" si="0"/>
        <v>2000000</v>
      </c>
      <c r="AG29" s="39" t="str">
        <f t="shared" si="60"/>
        <v>MAE 285</v>
      </c>
      <c r="AH29" s="333">
        <f t="shared" si="60"/>
        <v>3</v>
      </c>
      <c r="AI29" s="39">
        <f>Q37</f>
        <v>0</v>
      </c>
      <c r="AJ29" s="294">
        <f>IF(AN29="y",AG29,IF(AE29=10101,AG29,IF(AE29&gt;999999,"",IF(AE29&gt;201306,"ERROR Course no longer offered",IF(AE29&lt;=AE4,"PREREQ ERROR_MA 171",AG29)))))</f>
      </c>
      <c r="AK29" s="158" t="b">
        <f>IF(OR(LEFT(Q37,1)="T",S37/X37&gt;=2),TRUE,FALSE)</f>
        <v>0</v>
      </c>
      <c r="AL29" s="320">
        <f>IF(P37&gt;0,P37*100,1000000)+IF(LEFT(O37,2)="Sp",1,IF(LEFT(O37,2)="Su",5,IF(LEFT(O37,2)="Fa",9,1000000)))</f>
        <v>2000000</v>
      </c>
      <c r="AM29" s="139"/>
      <c r="AN29" s="77"/>
      <c r="AO29" s="37" t="b">
        <f>AE29&gt;999999</f>
        <v>1</v>
      </c>
      <c r="BA29" s="336">
        <f ca="1" t="shared" si="25"/>
      </c>
      <c r="BB29" s="336">
        <f ca="1" t="shared" si="25"/>
      </c>
      <c r="BC29" s="336">
        <f ca="1" t="shared" si="25"/>
      </c>
      <c r="BD29" s="336">
        <f ca="1" t="shared" si="25"/>
      </c>
      <c r="BE29" s="336">
        <f ca="1" t="shared" si="25"/>
      </c>
      <c r="BF29" s="336">
        <f ca="1" t="shared" si="25"/>
      </c>
      <c r="BG29" s="336">
        <f ca="1" t="shared" si="25"/>
      </c>
      <c r="BH29" s="336">
        <f ca="1" t="shared" si="25"/>
      </c>
      <c r="BI29" s="336">
        <f ca="1" t="shared" si="25"/>
      </c>
      <c r="BJ29" s="336">
        <f ca="1" t="shared" si="25"/>
      </c>
      <c r="BK29" s="336">
        <f ca="1" t="shared" si="25"/>
      </c>
      <c r="BL29" s="336">
        <f ca="1" t="shared" si="25"/>
      </c>
      <c r="BM29" s="336">
        <f ca="1" t="shared" si="25"/>
      </c>
      <c r="BN29" s="336">
        <f ca="1" t="shared" si="25"/>
      </c>
      <c r="BO29" s="336">
        <f ca="1" t="shared" si="25"/>
      </c>
      <c r="BQ29" s="178">
        <f t="shared" si="51"/>
        <v>0</v>
      </c>
      <c r="BR29" s="320">
        <f t="shared" si="52"/>
      </c>
      <c r="BS29" s="320">
        <f t="shared" si="53"/>
      </c>
      <c r="BT29" s="153"/>
      <c r="BU29" s="178">
        <f t="shared" si="54"/>
        <v>0</v>
      </c>
      <c r="BV29" s="320">
        <f t="shared" si="55"/>
      </c>
      <c r="BW29" s="320">
        <f t="shared" si="56"/>
      </c>
      <c r="BX29" s="153"/>
      <c r="BY29" s="178">
        <f t="shared" si="57"/>
        <v>0</v>
      </c>
      <c r="BZ29" s="320">
        <f t="shared" si="58"/>
      </c>
      <c r="CA29" s="320">
        <f t="shared" si="59"/>
      </c>
      <c r="CB29" s="153"/>
    </row>
    <row r="30" spans="2:80" ht="13.5" customHeight="1" thickBot="1">
      <c r="B30" s="130">
        <f t="shared" si="37"/>
      </c>
      <c r="C30" s="39">
        <f t="shared" si="38"/>
      </c>
      <c r="D30" s="43">
        <f t="shared" si="39"/>
      </c>
      <c r="E30" s="153">
        <f t="shared" si="47"/>
      </c>
      <c r="F30" s="130">
        <f t="shared" si="40"/>
      </c>
      <c r="G30" s="39">
        <f t="shared" si="41"/>
      </c>
      <c r="H30" s="43">
        <f t="shared" si="42"/>
      </c>
      <c r="I30" s="153">
        <f t="shared" si="48"/>
      </c>
      <c r="J30" s="130">
        <f t="shared" si="43"/>
      </c>
      <c r="K30" s="39">
        <f t="shared" si="44"/>
      </c>
      <c r="L30" s="43">
        <f t="shared" si="45"/>
      </c>
      <c r="M30" s="153">
        <f t="shared" si="49"/>
      </c>
      <c r="N30" s="45"/>
      <c r="O30" s="88"/>
      <c r="P30" s="103"/>
      <c r="Q30" s="102"/>
      <c r="R30" s="242" t="s">
        <v>171</v>
      </c>
      <c r="S30" s="242">
        <f t="shared" si="50"/>
        <v>0</v>
      </c>
      <c r="T30" s="242">
        <f t="shared" si="10"/>
      </c>
      <c r="U30" s="242">
        <f t="shared" si="8"/>
      </c>
      <c r="V30" s="242">
        <f t="shared" si="9"/>
      </c>
      <c r="W30" s="117"/>
      <c r="X30" s="355">
        <v>3</v>
      </c>
      <c r="Y30" s="286" t="s">
        <v>223</v>
      </c>
      <c r="Z30" s="445"/>
      <c r="AD30" s="1">
        <v>30</v>
      </c>
      <c r="AE30" s="320">
        <f t="shared" si="0"/>
        <v>2000000</v>
      </c>
      <c r="AG30" s="39" t="str">
        <f t="shared" si="60"/>
        <v>MAE 385</v>
      </c>
      <c r="AH30" s="333">
        <f t="shared" si="60"/>
        <v>2</v>
      </c>
      <c r="AI30" s="39">
        <f>Q38</f>
        <v>0</v>
      </c>
      <c r="AJ30" s="294">
        <f>IF(AN30="y",AG30,IF(AE30=10101,AG30,IF(AE30&gt;999999,"",IF(AE30&gt;201401,"ERROR Course no longer offered",IF(AE30&lt;=AE29,"PREREQ ERROR_MAE 285",IF(AE30&lt;AE7,"PREREQ w/Con ERROR_MA 238",AG30))))))</f>
      </c>
      <c r="AK30" s="158" t="b">
        <f>IF(OR(LEFT(Q38,1)="T",S38/X38&gt;=2),TRUE,FALSE)</f>
        <v>0</v>
      </c>
      <c r="AL30" s="320">
        <f>IF(P38&gt;0,P38*100,1000000)+IF(LEFT(O38,2)="Sp",1,IF(LEFT(O38,2)="Su",5,IF(LEFT(O38,2)="Fa",9,1000000)))</f>
        <v>2000000</v>
      </c>
      <c r="AM30" s="139"/>
      <c r="AN30" s="77"/>
      <c r="AO30" s="37" t="b">
        <f>AE30&gt;999999</f>
        <v>1</v>
      </c>
      <c r="BA30" s="336">
        <f ca="1" t="shared" si="25"/>
      </c>
      <c r="BB30" s="336">
        <f ca="1" t="shared" si="25"/>
      </c>
      <c r="BC30" s="336">
        <f ca="1" t="shared" si="25"/>
      </c>
      <c r="BD30" s="336">
        <f ca="1" t="shared" si="25"/>
      </c>
      <c r="BE30" s="336">
        <f ca="1" t="shared" si="25"/>
      </c>
      <c r="BF30" s="336">
        <f ca="1" t="shared" si="25"/>
      </c>
      <c r="BG30" s="336">
        <f ca="1" t="shared" si="25"/>
      </c>
      <c r="BH30" s="336">
        <f ca="1" t="shared" si="25"/>
      </c>
      <c r="BI30" s="336">
        <f ca="1" t="shared" si="25"/>
      </c>
      <c r="BJ30" s="336">
        <f ca="1" t="shared" si="25"/>
      </c>
      <c r="BK30" s="336">
        <f ca="1" t="shared" si="25"/>
      </c>
      <c r="BL30" s="336">
        <f ca="1" t="shared" si="25"/>
      </c>
      <c r="BM30" s="336">
        <f ca="1" t="shared" si="25"/>
      </c>
      <c r="BN30" s="336">
        <f ca="1" t="shared" si="25"/>
      </c>
      <c r="BO30" s="336">
        <f ca="1" t="shared" si="25"/>
      </c>
      <c r="BQ30" s="178">
        <f t="shared" si="51"/>
        <v>0</v>
      </c>
      <c r="BR30" s="320">
        <f t="shared" si="52"/>
      </c>
      <c r="BS30" s="320">
        <f t="shared" si="53"/>
      </c>
      <c r="BT30" s="153"/>
      <c r="BU30" s="178">
        <f t="shared" si="54"/>
        <v>0</v>
      </c>
      <c r="BV30" s="320">
        <f t="shared" si="55"/>
      </c>
      <c r="BW30" s="320">
        <f t="shared" si="56"/>
      </c>
      <c r="BX30" s="153"/>
      <c r="BY30" s="178">
        <f t="shared" si="57"/>
        <v>0</v>
      </c>
      <c r="BZ30" s="320">
        <f t="shared" si="58"/>
      </c>
      <c r="CA30" s="320">
        <f t="shared" si="59"/>
      </c>
      <c r="CB30" s="153"/>
    </row>
    <row r="31" spans="2:80" ht="13.5" customHeight="1" thickBot="1">
      <c r="B31" s="369">
        <f t="shared" si="37"/>
      </c>
      <c r="C31" s="370">
        <f t="shared" si="38"/>
      </c>
      <c r="D31" s="371">
        <f t="shared" si="39"/>
      </c>
      <c r="E31" s="153">
        <f t="shared" si="47"/>
      </c>
      <c r="F31" s="369">
        <f t="shared" si="40"/>
      </c>
      <c r="G31" s="370">
        <f t="shared" si="41"/>
      </c>
      <c r="H31" s="371">
        <f t="shared" si="42"/>
      </c>
      <c r="I31" s="153">
        <f t="shared" si="48"/>
      </c>
      <c r="J31" s="369">
        <f t="shared" si="43"/>
      </c>
      <c r="K31" s="370">
        <f t="shared" si="44"/>
      </c>
      <c r="L31" s="371">
        <f t="shared" si="45"/>
      </c>
      <c r="M31" s="153">
        <f t="shared" si="49"/>
      </c>
      <c r="N31" s="45"/>
      <c r="O31" s="357" t="s">
        <v>256</v>
      </c>
      <c r="P31" s="358"/>
      <c r="Q31" s="358"/>
      <c r="R31" s="359"/>
      <c r="S31" s="360"/>
      <c r="T31" s="360"/>
      <c r="U31" s="360"/>
      <c r="V31" s="360"/>
      <c r="W31" s="358"/>
      <c r="X31" s="358"/>
      <c r="Y31" s="361"/>
      <c r="Z31" s="268"/>
      <c r="AD31" s="1">
        <v>31</v>
      </c>
      <c r="AE31" s="320">
        <f t="shared" si="0"/>
        <v>2000000</v>
      </c>
      <c r="AG31" s="38" t="str">
        <f aca="true" t="shared" si="61" ref="AG31:AH34">W40</f>
        <v>MAE 271</v>
      </c>
      <c r="AH31" s="329">
        <f t="shared" si="61"/>
        <v>3</v>
      </c>
      <c r="AI31" s="330">
        <f>Q40</f>
        <v>0</v>
      </c>
      <c r="AJ31" s="294">
        <f>IF(AN31="y",AG31,IF(AE31=10101,AG31,IF(AE31&gt;999999,"",IF(AE31&lt;=AE11,"PREREQ ERROR_PH 111",IF(AE31&lt;AE6,"PREREQ w/Con ERROR_MA 201",AG31)))))</f>
      </c>
      <c r="AK31" s="295" t="b">
        <f>IF(OR(LEFT(Q40,1)="T",S40/X40&gt;=2),TRUE,FALSE)</f>
        <v>0</v>
      </c>
      <c r="AL31" s="330">
        <f>IF(P40&gt;0,P40*100,1000000)+IF(LEFT(O40,2)="Sp",1,IF(LEFT(O40,2)="Su",5,IF(LEFT(O40,2)="Fa",9,1000000)))</f>
        <v>2000000</v>
      </c>
      <c r="AM31" s="139"/>
      <c r="AN31" s="77"/>
      <c r="BA31" s="336">
        <f aca="true" ca="1" t="shared" si="62" ref="BA31:BO47">IF($AE31=BA$1,CELL("row",$AE31),"")</f>
      </c>
      <c r="BB31" s="336">
        <f ca="1" t="shared" si="62"/>
      </c>
      <c r="BC31" s="336">
        <f ca="1" t="shared" si="62"/>
      </c>
      <c r="BD31" s="336">
        <f ca="1" t="shared" si="62"/>
      </c>
      <c r="BE31" s="336">
        <f ca="1" t="shared" si="62"/>
      </c>
      <c r="BF31" s="336">
        <f ca="1" t="shared" si="62"/>
      </c>
      <c r="BG31" s="336">
        <f ca="1" t="shared" si="62"/>
      </c>
      <c r="BH31" s="336">
        <f ca="1" t="shared" si="62"/>
      </c>
      <c r="BI31" s="336">
        <f ca="1" t="shared" si="62"/>
      </c>
      <c r="BJ31" s="336">
        <f ca="1" t="shared" si="62"/>
      </c>
      <c r="BK31" s="336">
        <f ca="1" t="shared" si="62"/>
      </c>
      <c r="BL31" s="336">
        <f ca="1" t="shared" si="62"/>
      </c>
      <c r="BM31" s="336">
        <f ca="1" t="shared" si="62"/>
      </c>
      <c r="BN31" s="336">
        <f ca="1" t="shared" si="62"/>
      </c>
      <c r="BO31" s="336">
        <f ca="1" t="shared" si="62"/>
      </c>
      <c r="BQ31" s="178">
        <f t="shared" si="51"/>
        <v>0</v>
      </c>
      <c r="BR31" s="320">
        <f t="shared" si="52"/>
      </c>
      <c r="BS31" s="320">
        <f t="shared" si="53"/>
      </c>
      <c r="BT31" s="153"/>
      <c r="BU31" s="178">
        <f t="shared" si="54"/>
        <v>0</v>
      </c>
      <c r="BV31" s="320">
        <f t="shared" si="55"/>
      </c>
      <c r="BW31" s="320">
        <f t="shared" si="56"/>
      </c>
      <c r="BX31" s="153"/>
      <c r="BY31" s="178">
        <f t="shared" si="57"/>
        <v>0</v>
      </c>
      <c r="BZ31" s="320">
        <f t="shared" si="58"/>
      </c>
      <c r="CA31" s="320">
        <f t="shared" si="59"/>
      </c>
      <c r="CB31" s="153"/>
    </row>
    <row r="32" spans="2:80" ht="13.5" customHeight="1" thickBot="1" thickTop="1">
      <c r="B32" s="372">
        <f>IF(BQ33&lt;&gt;0,"Excess "&amp;BQ33,"")</f>
      </c>
      <c r="C32" s="373">
        <f>SUM(C25:C31)</f>
        <v>0</v>
      </c>
      <c r="D32" s="374"/>
      <c r="E32" s="153"/>
      <c r="F32" s="372">
        <f>IF(BU33&lt;&gt;0,"Excess "&amp;BU33,"")</f>
      </c>
      <c r="G32" s="373">
        <f>SUM(G25:G31)</f>
        <v>0</v>
      </c>
      <c r="H32" s="374"/>
      <c r="I32" s="153"/>
      <c r="J32" s="372">
        <f>IF(BY33&lt;&gt;0,"Excess "&amp;BY33,"")</f>
      </c>
      <c r="K32" s="373">
        <f>SUM(K25:K31)</f>
        <v>0</v>
      </c>
      <c r="L32" s="374"/>
      <c r="M32" s="153"/>
      <c r="O32" s="161"/>
      <c r="P32" s="70"/>
      <c r="Q32" s="229"/>
      <c r="R32" s="229" t="s">
        <v>171</v>
      </c>
      <c r="S32" s="241">
        <f t="shared" si="50"/>
        <v>0</v>
      </c>
      <c r="T32" s="241">
        <f t="shared" si="10"/>
      </c>
      <c r="U32" s="241">
        <f t="shared" si="8"/>
      </c>
      <c r="V32" s="241">
        <f t="shared" si="9"/>
      </c>
      <c r="W32" s="162" t="s">
        <v>257</v>
      </c>
      <c r="X32" s="163">
        <v>1</v>
      </c>
      <c r="Y32" s="356" t="s">
        <v>222</v>
      </c>
      <c r="Z32" s="426" t="s">
        <v>299</v>
      </c>
      <c r="AD32" s="1">
        <v>32</v>
      </c>
      <c r="AE32" s="320">
        <f t="shared" si="0"/>
        <v>2000000</v>
      </c>
      <c r="AG32" s="38" t="str">
        <f t="shared" si="61"/>
        <v>MAE 341</v>
      </c>
      <c r="AH32" s="333">
        <f t="shared" si="61"/>
        <v>3</v>
      </c>
      <c r="AI32" s="39">
        <f>Q41</f>
        <v>0</v>
      </c>
      <c r="AJ32" s="294">
        <f>IF(AN32="y",AG32,IF(AE32=10101,AG32,IF(AE32&gt;999999,"",IF(AE32&lt;=AE9,"PREREQ ERROR_CH 121",IF(AE32&lt;=AE10,"PREREQ ERROR_CH 125",IF(AE32&lt;=AE13,"PREREQ ERROR_PH 112",IF(AE32&lt;=AE6,"PREREQ ERROR_MA 201",AG32)))))))</f>
      </c>
      <c r="AK32" s="158" t="b">
        <f>IF(OR(LEFT(Q41,1)="T",S41/X41&gt;=2),TRUE,FALSE)</f>
        <v>0</v>
      </c>
      <c r="AL32" s="320">
        <f>IF(P41&gt;0,P41*100,1000000)+IF(LEFT(O41,2)="Sp",1,IF(LEFT(O41,2)="Su",5,IF(LEFT(O41,2)="Fa",9,1000000)))</f>
        <v>2000000</v>
      </c>
      <c r="AM32" s="139"/>
      <c r="AN32" s="77"/>
      <c r="BA32" s="336">
        <f ca="1" t="shared" si="62"/>
      </c>
      <c r="BB32" s="336">
        <f ca="1" t="shared" si="62"/>
      </c>
      <c r="BC32" s="336">
        <f ca="1" t="shared" si="62"/>
      </c>
      <c r="BD32" s="336">
        <f ca="1" t="shared" si="62"/>
      </c>
      <c r="BE32" s="336">
        <f ca="1" t="shared" si="62"/>
      </c>
      <c r="BF32" s="336">
        <f ca="1" t="shared" si="62"/>
      </c>
      <c r="BG32" s="336">
        <f ca="1" t="shared" si="62"/>
      </c>
      <c r="BH32" s="336">
        <f ca="1" t="shared" si="62"/>
      </c>
      <c r="BI32" s="336">
        <f ca="1" t="shared" si="62"/>
      </c>
      <c r="BJ32" s="336">
        <f ca="1" t="shared" si="62"/>
      </c>
      <c r="BK32" s="336">
        <f ca="1" t="shared" si="62"/>
      </c>
      <c r="BL32" s="336">
        <f ca="1" t="shared" si="62"/>
      </c>
      <c r="BM32" s="336">
        <f ca="1" t="shared" si="62"/>
      </c>
      <c r="BN32" s="336">
        <f ca="1" t="shared" si="62"/>
      </c>
      <c r="BO32" s="336">
        <f ca="1" t="shared" si="62"/>
      </c>
      <c r="BQ32" s="178">
        <f t="shared" si="51"/>
        <v>0</v>
      </c>
      <c r="BR32" s="320">
        <f t="shared" si="52"/>
      </c>
      <c r="BS32" s="320">
        <f t="shared" si="53"/>
      </c>
      <c r="BT32" s="153"/>
      <c r="BU32" s="178">
        <f t="shared" si="54"/>
        <v>0</v>
      </c>
      <c r="BV32" s="320">
        <f t="shared" si="55"/>
      </c>
      <c r="BW32" s="320">
        <f t="shared" si="56"/>
      </c>
      <c r="BX32" s="153"/>
      <c r="BY32" s="178">
        <f t="shared" si="57"/>
        <v>0</v>
      </c>
      <c r="BZ32" s="320">
        <f t="shared" si="58"/>
      </c>
      <c r="CA32" s="320">
        <f t="shared" si="59"/>
      </c>
      <c r="CB32" s="153"/>
    </row>
    <row r="33" spans="2:80" ht="13.5" customHeight="1">
      <c r="B33" s="138"/>
      <c r="C33" s="152" t="s">
        <v>137</v>
      </c>
      <c r="D33" s="154">
        <f>IF(SUMIF(E25:E31,"&gt;=0",C25:C31)&gt;0,SUM(E25:E31)/SUMIF(E25:E31,"&gt;=0",C25:C31),"")</f>
      </c>
      <c r="E33" s="153"/>
      <c r="F33" s="139"/>
      <c r="G33" s="152" t="s">
        <v>137</v>
      </c>
      <c r="H33" s="154">
        <f>IF(SUMIF(I25:I31,"&gt;=0",G25:G31)&gt;0,SUM(I25:I31)/SUMIF(I25:I31,"&gt;=0",G25:G31),"")</f>
      </c>
      <c r="I33" s="153"/>
      <c r="J33" s="139"/>
      <c r="K33" s="152" t="s">
        <v>137</v>
      </c>
      <c r="L33" s="154">
        <f>IF(SUMIF(M25:M31,"&gt;=0",K25:K31)&gt;0,SUM(M25:M31)/SUMIF(M25:M31,"&gt;=0",K25:K31),"")</f>
      </c>
      <c r="M33" s="153"/>
      <c r="N33" s="45"/>
      <c r="O33" s="88"/>
      <c r="P33" s="103"/>
      <c r="Q33" s="102"/>
      <c r="R33" s="102" t="s">
        <v>171</v>
      </c>
      <c r="S33" s="242">
        <f t="shared" si="50"/>
        <v>0</v>
      </c>
      <c r="T33" s="238">
        <f t="shared" si="10"/>
      </c>
      <c r="U33" s="238">
        <f t="shared" si="8"/>
      </c>
      <c r="V33" s="238">
        <f t="shared" si="9"/>
      </c>
      <c r="W33" s="117"/>
      <c r="X33" s="104">
        <v>2</v>
      </c>
      <c r="Y33" s="365" t="s">
        <v>222</v>
      </c>
      <c r="Z33" s="427"/>
      <c r="AD33" s="1">
        <v>33</v>
      </c>
      <c r="AE33" s="320">
        <f t="shared" si="0"/>
        <v>2000000</v>
      </c>
      <c r="AG33" s="38" t="str">
        <f t="shared" si="61"/>
        <v>EE 213</v>
      </c>
      <c r="AH33" s="333">
        <f t="shared" si="61"/>
        <v>3</v>
      </c>
      <c r="AI33" s="39">
        <f>Q42</f>
        <v>0</v>
      </c>
      <c r="AJ33" s="294">
        <f>IF(AN33="y",AG33,IF(AE33=10101,AG33,IF(AE33&gt;999999,"",IF(AE33&lt;=AE13,"PREREQ ERROR_PH 112",IF(NOT(OR(AND(AE33&gt;=AE29,AE29&lt;999999),AND(AE33&gt;=AE8,AE8&lt;999999),AND(AE33&gt;=AE65,AE65&lt;999999))),"PREREQ w/Con ERROR_MAE 285 or MA 244 or CHE 244",IF(AE33&lt;AE7,"PREREQ w/Con ERROR_MA 238",AG33))))))</f>
      </c>
      <c r="AK33" s="158" t="b">
        <f>IF(OR(LEFT(Q42,1)="T",S42/X42&gt;=2),TRUE,FALSE)</f>
        <v>0</v>
      </c>
      <c r="AL33" s="320">
        <f>IF(P42&gt;0,P42*100,1000000)+IF(LEFT(O42,2)="Sp",1,IF(LEFT(O42,2)="Su",5,IF(LEFT(O42,2)="Fa",9,1000000)))</f>
        <v>2000000</v>
      </c>
      <c r="AM33" s="139"/>
      <c r="AN33" s="77"/>
      <c r="BA33" s="336">
        <f ca="1" t="shared" si="62"/>
      </c>
      <c r="BB33" s="336">
        <f ca="1" t="shared" si="62"/>
      </c>
      <c r="BC33" s="336">
        <f ca="1" t="shared" si="62"/>
      </c>
      <c r="BD33" s="336">
        <f ca="1" t="shared" si="62"/>
      </c>
      <c r="BE33" s="336">
        <f ca="1" t="shared" si="62"/>
      </c>
      <c r="BF33" s="336">
        <f ca="1" t="shared" si="62"/>
      </c>
      <c r="BG33" s="336">
        <f ca="1" t="shared" si="62"/>
      </c>
      <c r="BH33" s="336">
        <f ca="1" t="shared" si="62"/>
      </c>
      <c r="BI33" s="336">
        <f ca="1" t="shared" si="62"/>
      </c>
      <c r="BJ33" s="336">
        <f ca="1" t="shared" si="62"/>
      </c>
      <c r="BK33" s="336">
        <f ca="1" t="shared" si="62"/>
      </c>
      <c r="BL33" s="336">
        <f ca="1" t="shared" si="62"/>
      </c>
      <c r="BM33" s="336">
        <f ca="1" t="shared" si="62"/>
      </c>
      <c r="BN33" s="336">
        <f ca="1" t="shared" si="62"/>
      </c>
      <c r="BO33" s="336">
        <f ca="1" t="shared" si="62"/>
      </c>
      <c r="BQ33" s="178">
        <f t="shared" si="51"/>
        <v>0</v>
      </c>
      <c r="BR33" s="320">
        <f t="shared" si="52"/>
      </c>
      <c r="BS33" s="320">
        <f t="shared" si="53"/>
      </c>
      <c r="BT33" s="153"/>
      <c r="BU33" s="178">
        <f t="shared" si="54"/>
        <v>0</v>
      </c>
      <c r="BV33" s="320">
        <f t="shared" si="55"/>
      </c>
      <c r="BW33" s="320">
        <f t="shared" si="56"/>
      </c>
      <c r="BX33" s="153"/>
      <c r="BY33" s="178">
        <f t="shared" si="57"/>
        <v>0</v>
      </c>
      <c r="BZ33" s="320">
        <f t="shared" si="58"/>
      </c>
      <c r="CA33" s="320">
        <f t="shared" si="59"/>
      </c>
      <c r="CB33" s="153"/>
    </row>
    <row r="34" spans="2:80" ht="13.5" customHeight="1" thickBot="1">
      <c r="B34" s="36"/>
      <c r="C34" s="36"/>
      <c r="D34" s="36"/>
      <c r="E34" s="153"/>
      <c r="F34" s="124"/>
      <c r="G34" s="36"/>
      <c r="H34" s="36"/>
      <c r="I34" s="153"/>
      <c r="J34" s="36"/>
      <c r="K34" s="36"/>
      <c r="L34" s="36"/>
      <c r="M34" s="153"/>
      <c r="N34" s="45"/>
      <c r="O34" s="79"/>
      <c r="P34" s="80"/>
      <c r="Q34" s="96"/>
      <c r="R34" s="96" t="s">
        <v>171</v>
      </c>
      <c r="S34" s="237">
        <f t="shared" si="50"/>
        <v>0</v>
      </c>
      <c r="T34" s="242">
        <f>IF(OR(S34&gt;0,LEFT(Q34,1)="f"),X34,"")</f>
      </c>
      <c r="U34" s="242">
        <f>IF(R34="Y",S34,"")</f>
      </c>
      <c r="V34" s="242">
        <f>IF(AND(R34="Y",T34&gt;0),T34,"")</f>
      </c>
      <c r="W34" s="93"/>
      <c r="X34" s="105"/>
      <c r="Y34" s="166"/>
      <c r="Z34" s="428"/>
      <c r="AD34" s="1">
        <v>34</v>
      </c>
      <c r="AE34" s="320">
        <f t="shared" si="0"/>
        <v>2000000</v>
      </c>
      <c r="AG34" s="38" t="str">
        <f t="shared" si="61"/>
        <v>ISE 321</v>
      </c>
      <c r="AH34" s="333">
        <f t="shared" si="61"/>
        <v>3</v>
      </c>
      <c r="AI34" s="39">
        <f>Q43</f>
        <v>0</v>
      </c>
      <c r="AJ34" s="294">
        <f>IF(AN34="y",AG34,IF(AE34=10101,AG34,IF(AE34&gt;999999,"",IF(SUMIF(AE2:AE80,"&lt;"&amp;AE34,AH2:AH80)&lt;32,"ERROR_Sophomore Standing",AG34))))</f>
      </c>
      <c r="AK34" s="158" t="b">
        <f>IF(OR(LEFT(Q43,1)="T",S43/X43&gt;=2),TRUE,FALSE)</f>
        <v>0</v>
      </c>
      <c r="AL34" s="320">
        <f>IF(P43&gt;0,P43*100,1000000)+IF(LEFT(O43,2)="Sp",1,IF(LEFT(O43,2)="Su",5,IF(LEFT(O43,2)="Fa",9,1000000)))</f>
        <v>2000000</v>
      </c>
      <c r="AM34" s="139"/>
      <c r="AN34" s="77"/>
      <c r="BA34" s="336">
        <f ca="1" t="shared" si="62"/>
      </c>
      <c r="BB34" s="336">
        <f ca="1" t="shared" si="62"/>
      </c>
      <c r="BC34" s="336">
        <f ca="1" t="shared" si="62"/>
      </c>
      <c r="BD34" s="336">
        <f ca="1" t="shared" si="62"/>
      </c>
      <c r="BE34" s="336">
        <f ca="1" t="shared" si="62"/>
      </c>
      <c r="BF34" s="336">
        <f ca="1" t="shared" si="62"/>
      </c>
      <c r="BG34" s="336">
        <f ca="1" t="shared" si="62"/>
      </c>
      <c r="BH34" s="336">
        <f ca="1" t="shared" si="62"/>
      </c>
      <c r="BI34" s="336">
        <f ca="1" t="shared" si="62"/>
      </c>
      <c r="BJ34" s="336">
        <f ca="1" t="shared" si="62"/>
      </c>
      <c r="BK34" s="336">
        <f ca="1" t="shared" si="62"/>
      </c>
      <c r="BL34" s="336">
        <f ca="1" t="shared" si="62"/>
      </c>
      <c r="BM34" s="336">
        <f ca="1" t="shared" si="62"/>
      </c>
      <c r="BN34" s="336">
        <f ca="1" t="shared" si="62"/>
      </c>
      <c r="BO34" s="336">
        <f ca="1" t="shared" si="62"/>
      </c>
      <c r="BQ34" s="138"/>
      <c r="BT34" s="153"/>
      <c r="BU34" s="139"/>
      <c r="BX34" s="153"/>
      <c r="BY34" s="139"/>
      <c r="CB34" s="153"/>
    </row>
    <row r="35" spans="2:80" ht="13.5" customHeight="1" thickBot="1">
      <c r="B35" s="397" t="str">
        <f>IF(OR($D$5="Spring",$D$5="Summer"),"Fall"&amp;" "&amp;$E$5+1,IF($D$5="Fall","Fall"&amp;" "&amp;$E$5+2,""))</f>
        <v>Fall 2015</v>
      </c>
      <c r="C35" s="398"/>
      <c r="D35" s="399"/>
      <c r="E35" s="156">
        <f>IF(LEFT(B35,2)="Sp",1,IF(LEFT(B35,2)="Su",5,9))+VALUE(RIGHT(B35,4))*100</f>
        <v>201509</v>
      </c>
      <c r="F35" s="397" t="str">
        <f>IF(F11="Spring"&amp;" "&amp;E5+1,"Spring"&amp;" "&amp;E5+3,"Spring"&amp;" "&amp;E5+2)</f>
        <v>Spring 2016</v>
      </c>
      <c r="G35" s="398"/>
      <c r="H35" s="399"/>
      <c r="I35" s="156">
        <f>IF(LEFT(F35,2)="Sp",1,IF(LEFT(F35,2)="Su",5,9))+VALUE(RIGHT(F35,4))*100</f>
        <v>201601</v>
      </c>
      <c r="J35" s="397" t="str">
        <f>IF(J11="Summer"&amp;" "&amp;E5+1,"Summer"&amp;" "&amp;E5+3,"Summer"&amp;" "&amp;E5+2)</f>
        <v>Summer 2016</v>
      </c>
      <c r="K35" s="398"/>
      <c r="L35" s="399"/>
      <c r="M35" s="156">
        <f>IF(LEFT(J35,2)="Sp",1,IF(LEFT(J35,2)="Su",5,9))+VALUE(RIGHT(J35,4))*100</f>
        <v>201605</v>
      </c>
      <c r="N35" s="45"/>
      <c r="O35" s="275" t="s">
        <v>211</v>
      </c>
      <c r="P35" s="165"/>
      <c r="Q35" s="165"/>
      <c r="R35" s="234"/>
      <c r="S35" s="306"/>
      <c r="T35" s="306"/>
      <c r="U35" s="306"/>
      <c r="V35" s="306"/>
      <c r="W35" s="165"/>
      <c r="X35" s="165"/>
      <c r="Y35" s="276"/>
      <c r="Z35" s="271"/>
      <c r="AD35" s="1">
        <v>35</v>
      </c>
      <c r="AE35" s="320">
        <f aca="true" t="shared" si="63" ref="AE35:AE66">IF(AND(AK35,AL35&gt;999999),10101,AL35)</f>
        <v>2000000</v>
      </c>
      <c r="AG35" s="38" t="str">
        <f aca="true" t="shared" si="64" ref="AG35:AG54">W45</f>
        <v>MAE 100</v>
      </c>
      <c r="AH35" s="329">
        <f aca="true" t="shared" si="65" ref="AH35:AH54">X45</f>
        <v>2</v>
      </c>
      <c r="AI35" s="330">
        <f aca="true" t="shared" si="66" ref="AI35:AI54">Q45</f>
        <v>0</v>
      </c>
      <c r="AJ35" s="294">
        <f>IF(AN35="y",AG35,IF(AE35=10101,AG35,IF(AE35&gt;999999,"",IF(AND(AE35&lt;AE59,AE59&lt;999999),"PREREQ ERROR_MA 113",AG35))))</f>
      </c>
      <c r="AK35" s="295" t="b">
        <f aca="true" t="shared" si="67" ref="AK35:AK54">IF(OR(LEFT(Q45,1)="T",S45/X45&gt;=2),TRUE,FALSE)</f>
        <v>0</v>
      </c>
      <c r="AL35" s="330">
        <f aca="true" t="shared" si="68" ref="AL35:AL54">IF(P45&gt;0,P45*100,1000000)+IF(LEFT(O45,2)="Sp",1,IF(LEFT(O45,2)="Su",5,IF(LEFT(O45,2)="Fa",9,1000000)))</f>
        <v>2000000</v>
      </c>
      <c r="AM35" s="139"/>
      <c r="AN35" s="108"/>
      <c r="BA35" s="336">
        <f ca="1" t="shared" si="62"/>
      </c>
      <c r="BB35" s="336">
        <f ca="1" t="shared" si="62"/>
      </c>
      <c r="BC35" s="336">
        <f ca="1" t="shared" si="62"/>
      </c>
      <c r="BD35" s="336">
        <f ca="1" t="shared" si="62"/>
      </c>
      <c r="BE35" s="336">
        <f ca="1" t="shared" si="62"/>
      </c>
      <c r="BF35" s="336">
        <f ca="1" t="shared" si="62"/>
      </c>
      <c r="BG35" s="336">
        <f ca="1" t="shared" si="62"/>
      </c>
      <c r="BH35" s="336">
        <f ca="1" t="shared" si="62"/>
      </c>
      <c r="BI35" s="336">
        <f ca="1" t="shared" si="62"/>
      </c>
      <c r="BJ35" s="336">
        <f ca="1" t="shared" si="62"/>
      </c>
      <c r="BK35" s="336">
        <f ca="1" t="shared" si="62"/>
      </c>
      <c r="BL35" s="336">
        <f ca="1" t="shared" si="62"/>
      </c>
      <c r="BM35" s="336">
        <f ca="1" t="shared" si="62"/>
      </c>
      <c r="BN35" s="336">
        <f ca="1" t="shared" si="62"/>
      </c>
      <c r="BO35" s="336">
        <f ca="1" t="shared" si="62"/>
      </c>
      <c r="CB35" s="153"/>
    </row>
    <row r="36" spans="2:80" ht="13.5" customHeight="1">
      <c r="B36" s="135" t="s">
        <v>2</v>
      </c>
      <c r="C36" s="136" t="s">
        <v>3</v>
      </c>
      <c r="D36" s="137" t="s">
        <v>4</v>
      </c>
      <c r="E36" s="153"/>
      <c r="F36" s="135" t="s">
        <v>2</v>
      </c>
      <c r="G36" s="136" t="s">
        <v>3</v>
      </c>
      <c r="H36" s="137" t="s">
        <v>4</v>
      </c>
      <c r="I36" s="153"/>
      <c r="J36" s="135" t="s">
        <v>2</v>
      </c>
      <c r="K36" s="136" t="s">
        <v>3</v>
      </c>
      <c r="L36" s="137" t="s">
        <v>4</v>
      </c>
      <c r="M36" s="153"/>
      <c r="N36" s="45"/>
      <c r="O36" s="161"/>
      <c r="P36" s="71"/>
      <c r="Q36" s="229"/>
      <c r="R36" s="241" t="s">
        <v>174</v>
      </c>
      <c r="S36" s="241">
        <f>IF(LEFT(Q36,1)="a",4,IF(LEFT(Q36,1)="b",3,IF(LEFT(Q36,1)="c",2,IF(LEFT(Q36,1)="d",1,0))))*X36</f>
        <v>0</v>
      </c>
      <c r="T36" s="241">
        <f>IF(OR(S36&gt;0,LEFT(Q36,1)="f"),X36,"")</f>
      </c>
      <c r="U36" s="241">
        <f>IF(R36="Y",S36,"")</f>
        <v>0</v>
      </c>
      <c r="V36" s="241">
        <f>IF(AND(R36="Y",T36&gt;0),T36,"")</f>
      </c>
      <c r="W36" s="272" t="s">
        <v>23</v>
      </c>
      <c r="X36" s="273">
        <v>3</v>
      </c>
      <c r="Y36" s="274" t="s">
        <v>24</v>
      </c>
      <c r="Z36" s="270" t="s">
        <v>213</v>
      </c>
      <c r="AD36" s="1">
        <v>36</v>
      </c>
      <c r="AE36" s="320">
        <f t="shared" si="63"/>
        <v>2000000</v>
      </c>
      <c r="AF36" s="336">
        <f>IF(AE36&lt;AE28,AE36,AE28)</f>
        <v>2000000</v>
      </c>
      <c r="AG36" s="38" t="str">
        <f t="shared" si="64"/>
        <v>MAE 111</v>
      </c>
      <c r="AH36" s="333">
        <f t="shared" si="65"/>
        <v>3</v>
      </c>
      <c r="AI36" s="39">
        <f t="shared" si="66"/>
        <v>0</v>
      </c>
      <c r="AJ36" s="294">
        <f>IF(AN36="y",AG36,IF(AE36=10101,AG36,IF(AE36&gt;999999,"",IF(AND(AE36&lt;AE59,AE59&lt;999999),"PREREQ ERROR_MA 113",AG36))))</f>
      </c>
      <c r="AK36" s="158" t="b">
        <f t="shared" si="67"/>
        <v>0</v>
      </c>
      <c r="AL36" s="320">
        <f t="shared" si="68"/>
        <v>2000000</v>
      </c>
      <c r="AN36" s="77"/>
      <c r="AO36" s="45" t="b">
        <f>AND(AE36&gt;999999,AE28&lt;999999)</f>
        <v>0</v>
      </c>
      <c r="BA36" s="336">
        <f ca="1" t="shared" si="62"/>
      </c>
      <c r="BB36" s="336">
        <f ca="1" t="shared" si="62"/>
      </c>
      <c r="BC36" s="336">
        <f ca="1" t="shared" si="62"/>
      </c>
      <c r="BD36" s="336">
        <f ca="1" t="shared" si="62"/>
      </c>
      <c r="BE36" s="336">
        <f ca="1" t="shared" si="62"/>
      </c>
      <c r="BF36" s="336">
        <f ca="1" t="shared" si="62"/>
      </c>
      <c r="BG36" s="336">
        <f ca="1" t="shared" si="62"/>
      </c>
      <c r="BH36" s="336">
        <f ca="1" t="shared" si="62"/>
      </c>
      <c r="BI36" s="336">
        <f ca="1" t="shared" si="62"/>
      </c>
      <c r="BJ36" s="336">
        <f ca="1" t="shared" si="62"/>
      </c>
      <c r="BK36" s="336">
        <f ca="1" t="shared" si="62"/>
      </c>
      <c r="BL36" s="336">
        <f ca="1" t="shared" si="62"/>
      </c>
      <c r="BM36" s="336">
        <f ca="1" t="shared" si="62"/>
      </c>
      <c r="BN36" s="336">
        <f ca="1" t="shared" si="62"/>
      </c>
      <c r="BO36" s="336">
        <f ca="1" t="shared" si="62"/>
      </c>
      <c r="BQ36" s="182">
        <f>E35</f>
        <v>201509</v>
      </c>
      <c r="BR36" s="183"/>
      <c r="BS36" s="184"/>
      <c r="BT36" s="153"/>
      <c r="BU36" s="182">
        <f>I35</f>
        <v>201601</v>
      </c>
      <c r="BV36" s="183"/>
      <c r="BW36" s="184"/>
      <c r="BX36" s="153"/>
      <c r="BY36" s="182">
        <f>M35</f>
        <v>201605</v>
      </c>
      <c r="BZ36" s="183"/>
      <c r="CA36" s="184"/>
      <c r="CB36" s="153"/>
    </row>
    <row r="37" spans="2:80" ht="13.5" customHeight="1">
      <c r="B37" s="130">
        <f aca="true" t="shared" si="69" ref="B37:B43">IF(BR38=BS38,BR38,"Error "&amp;BQ38)</f>
      </c>
      <c r="C37" s="39">
        <f aca="true" t="shared" si="70" ref="C37:C43">IF(BQ38&gt;0,INDEX(MECourses,BQ38,2),"")</f>
      </c>
      <c r="D37" s="43">
        <f aca="true" t="shared" si="71" ref="D37:D43">IF(BQ38&gt;0,INDEX(MECourses,BQ38,3),"")</f>
      </c>
      <c r="E37" s="153">
        <f>IF(LEFT(D37,1)="a",4*C37,IF(LEFT(D37,1)="b",3*C37,IF(LEFT(D37,1)="c",2*C37,IF(LEFT(D37,1)="d",C37,IF(LEFT(D37,1)="f",0,"")))))</f>
      </c>
      <c r="F37" s="130">
        <f aca="true" t="shared" si="72" ref="F37:F43">IF(BV38=BW38,BV38,"Error "&amp;BU38)</f>
      </c>
      <c r="G37" s="39">
        <f aca="true" t="shared" si="73" ref="G37:G43">IF(BU38&gt;0,INDEX(MECourses,BU38,2),"")</f>
      </c>
      <c r="H37" s="43">
        <f aca="true" t="shared" si="74" ref="H37:H43">IF(BU38&gt;0,INDEX(MECourses,BU38,3),"")</f>
      </c>
      <c r="I37" s="153">
        <f>IF(LEFT(H37,1)="a",4*G37,IF(LEFT(H37,1)="b",3*G37,IF(LEFT(H37,1)="c",2*G37,IF(LEFT(H37,1)="d",G37,IF(LEFT(H37,1)="f",0,"")))))</f>
      </c>
      <c r="J37" s="130">
        <f aca="true" t="shared" si="75" ref="J37:J43">IF(BZ38=CA38,BZ38,"Error "&amp;BY38)</f>
      </c>
      <c r="K37" s="39">
        <f aca="true" t="shared" si="76" ref="K37:K43">IF(BY38&gt;0,INDEX(MECourses,BY38,2),"")</f>
      </c>
      <c r="L37" s="43">
        <f aca="true" t="shared" si="77" ref="L37:L43">IF(BY38&gt;0,INDEX(MECourses,BY38,3),"")</f>
      </c>
      <c r="M37" s="153">
        <f>IF(LEFT(L37,1)="a",4*K37,IF(LEFT(L37,1)="b",3*K37,IF(LEFT(L37,1)="c",2*K37,IF(LEFT(L37,1)="d",K37,IF(LEFT(L37,1)="f",0,"")))))</f>
      </c>
      <c r="N37" s="45"/>
      <c r="O37" s="69"/>
      <c r="P37" s="75"/>
      <c r="Q37" s="97"/>
      <c r="R37" s="238" t="s">
        <v>174</v>
      </c>
      <c r="S37" s="238">
        <f>IF(LEFT(Q37,1)="a",4,IF(LEFT(Q37,1)="b",3,IF(LEFT(Q37,1)="c",2,IF(LEFT(Q37,1)="d",1,0))))*X37</f>
        <v>0</v>
      </c>
      <c r="T37" s="238">
        <f>IF(OR(S37&gt;0,LEFT(Q37,1)="f"),X37,"")</f>
      </c>
      <c r="U37" s="238">
        <f>IF(R37="Y",S37,"")</f>
        <v>0</v>
      </c>
      <c r="V37" s="238">
        <f>IF(AND(R37="Y",T37&gt;0),T37,"")</f>
      </c>
      <c r="W37" s="34" t="s">
        <v>27</v>
      </c>
      <c r="X37" s="7">
        <v>3</v>
      </c>
      <c r="Y37" s="18" t="s">
        <v>28</v>
      </c>
      <c r="Z37" s="414" t="s">
        <v>214</v>
      </c>
      <c r="AD37" s="1">
        <v>37</v>
      </c>
      <c r="AE37" s="320">
        <f t="shared" si="63"/>
        <v>2000000</v>
      </c>
      <c r="AG37" s="38" t="str">
        <f t="shared" si="64"/>
        <v>MAE 272</v>
      </c>
      <c r="AH37" s="333">
        <f t="shared" si="65"/>
        <v>3</v>
      </c>
      <c r="AI37" s="39">
        <f t="shared" si="66"/>
        <v>0</v>
      </c>
      <c r="AJ37" s="294">
        <f>IF(AN37="y",AG37,IF(AE37=10101,AG37,IF(AE37&gt;999999,"",IF(AE37&lt;=AE31,"PREREQ ERROR_MAE 271",IF(NOT(OR(AND(AE37&gt;AE36,AE36&lt;999999),AND(AE37&gt;AE29,AE29&lt;999999),AND(AE37&gt;AE63,AE63&lt;999999))),"PREREQ ERROR_MAE 111 or MA 285 or CPE 112",AG37)))))</f>
      </c>
      <c r="AK37" s="158" t="b">
        <f t="shared" si="67"/>
        <v>0</v>
      </c>
      <c r="AL37" s="320">
        <f t="shared" si="68"/>
        <v>2000000</v>
      </c>
      <c r="AM37" s="139"/>
      <c r="AN37" s="108"/>
      <c r="BA37" s="336">
        <f ca="1" t="shared" si="62"/>
      </c>
      <c r="BB37" s="336">
        <f ca="1" t="shared" si="62"/>
      </c>
      <c r="BC37" s="336">
        <f ca="1" t="shared" si="62"/>
      </c>
      <c r="BD37" s="336">
        <f ca="1" t="shared" si="62"/>
      </c>
      <c r="BE37" s="336">
        <f ca="1" t="shared" si="62"/>
      </c>
      <c r="BF37" s="336">
        <f ca="1" t="shared" si="62"/>
      </c>
      <c r="BG37" s="336">
        <f ca="1" t="shared" si="62"/>
      </c>
      <c r="BH37" s="336">
        <f ca="1" t="shared" si="62"/>
      </c>
      <c r="BI37" s="336">
        <f ca="1" t="shared" si="62"/>
      </c>
      <c r="BJ37" s="336">
        <f ca="1" t="shared" si="62"/>
      </c>
      <c r="BK37" s="336">
        <f ca="1" t="shared" si="62"/>
      </c>
      <c r="BL37" s="336">
        <f ca="1" t="shared" si="62"/>
      </c>
      <c r="BM37" s="336">
        <f ca="1" t="shared" si="62"/>
      </c>
      <c r="BN37" s="336">
        <f ca="1" t="shared" si="62"/>
      </c>
      <c r="BO37" s="336">
        <f ca="1" t="shared" si="62"/>
      </c>
      <c r="BQ37" s="340" t="s">
        <v>153</v>
      </c>
      <c r="BR37" s="340" t="s">
        <v>155</v>
      </c>
      <c r="BS37" s="340" t="s">
        <v>156</v>
      </c>
      <c r="BT37" s="153"/>
      <c r="BU37" s="340" t="s">
        <v>153</v>
      </c>
      <c r="BV37" s="340" t="s">
        <v>155</v>
      </c>
      <c r="BW37" s="340" t="s">
        <v>156</v>
      </c>
      <c r="BX37" s="153"/>
      <c r="BY37" s="340" t="s">
        <v>153</v>
      </c>
      <c r="BZ37" s="340" t="s">
        <v>155</v>
      </c>
      <c r="CA37" s="340" t="s">
        <v>156</v>
      </c>
      <c r="CB37" s="153"/>
    </row>
    <row r="38" spans="2:79" ht="13.5" customHeight="1" thickBot="1">
      <c r="B38" s="130">
        <f t="shared" si="69"/>
      </c>
      <c r="C38" s="39">
        <f t="shared" si="70"/>
      </c>
      <c r="D38" s="43">
        <f t="shared" si="71"/>
      </c>
      <c r="E38" s="153">
        <f aca="true" t="shared" si="78" ref="E38:E43">IF(LEFT(D38,1)="a",4*C38,IF(LEFT(D38,1)="b",3*C38,IF(LEFT(D38,1)="c",2*C38,IF(LEFT(D38,1)="d",C38,IF(LEFT(D38,1)="f",0,"")))))</f>
      </c>
      <c r="F38" s="130">
        <f t="shared" si="72"/>
      </c>
      <c r="G38" s="39">
        <f t="shared" si="73"/>
      </c>
      <c r="H38" s="43">
        <f t="shared" si="74"/>
      </c>
      <c r="I38" s="153">
        <f aca="true" t="shared" si="79" ref="I38:I43">IF(LEFT(H38,1)="a",4*G38,IF(LEFT(H38,1)="b",3*G38,IF(LEFT(H38,1)="c",2*G38,IF(LEFT(H38,1)="d",G38,IF(LEFT(H38,1)="f",0,"")))))</f>
      </c>
      <c r="J38" s="130">
        <f t="shared" si="75"/>
      </c>
      <c r="K38" s="39">
        <f t="shared" si="76"/>
      </c>
      <c r="L38" s="43">
        <f t="shared" si="77"/>
      </c>
      <c r="M38" s="153">
        <f aca="true" t="shared" si="80" ref="M38:M43">IF(LEFT(L38,1)="a",4*K38,IF(LEFT(L38,1)="b",3*K38,IF(LEFT(L38,1)="c",2*K38,IF(LEFT(L38,1)="d",K38,IF(LEFT(L38,1)="f",0,"")))))</f>
      </c>
      <c r="N38" s="45"/>
      <c r="O38" s="127"/>
      <c r="P38" s="90"/>
      <c r="Q38" s="228"/>
      <c r="R38" s="239" t="s">
        <v>174</v>
      </c>
      <c r="S38" s="239">
        <f>IF(LEFT(Q38,1)="a",4,IF(LEFT(Q38,1)="b",3,IF(LEFT(Q38,1)="c",2,IF(LEFT(Q38,1)="d",1,0))))*X38</f>
        <v>0</v>
      </c>
      <c r="T38" s="239">
        <f>IF(OR(S38&gt;0,LEFT(Q38,1)="f"),X38,"")</f>
      </c>
      <c r="U38" s="239">
        <f>IF(R38="Y",S38,"")</f>
        <v>0</v>
      </c>
      <c r="V38" s="239">
        <f>IF(AND(R38="Y",T38&gt;0),T38,"")</f>
      </c>
      <c r="W38" s="52" t="s">
        <v>40</v>
      </c>
      <c r="X38" s="53">
        <v>2</v>
      </c>
      <c r="Y38" s="282" t="s">
        <v>41</v>
      </c>
      <c r="Z38" s="415"/>
      <c r="AA38" s="10"/>
      <c r="AD38" s="1">
        <v>38</v>
      </c>
      <c r="AE38" s="320">
        <f t="shared" si="63"/>
        <v>2000000</v>
      </c>
      <c r="AG38" s="38" t="str">
        <f t="shared" si="64"/>
        <v>MAE 284</v>
      </c>
      <c r="AH38" s="333">
        <f t="shared" si="65"/>
        <v>3</v>
      </c>
      <c r="AI38" s="39">
        <f t="shared" si="66"/>
        <v>0</v>
      </c>
      <c r="AJ38" s="294">
        <f>IF(AN38="y",AG38,IF(AE38=10101,AG38,IF(AE38&gt;999999,"",IF(AE38&lt;=AE8,"PREREQ ERROR_MA 244",IF(NOT(OR(AND(AE38&gt;AE28,AE28&lt;999999),AND(AE38&gt;AE36,AE36&lt;999999),AND(AE38&gt;AE63,AE63&lt;999999))),"PREREQ ERROR_MAE 110 or MAE 111 or CPE 112",IF(AE38&lt;AE7,"PREREQ w/Con ERROR_MA 238",AG38))))))</f>
      </c>
      <c r="AK38" s="158" t="b">
        <f t="shared" si="67"/>
        <v>0</v>
      </c>
      <c r="AL38" s="320">
        <f t="shared" si="68"/>
        <v>2000000</v>
      </c>
      <c r="AM38" s="139"/>
      <c r="AN38" s="108"/>
      <c r="AO38" s="45" t="b">
        <f>AND(AE38&gt;999999,AE30&lt;999999)</f>
        <v>0</v>
      </c>
      <c r="BA38" s="336">
        <f ca="1" t="shared" si="62"/>
      </c>
      <c r="BB38" s="336">
        <f ca="1" t="shared" si="62"/>
      </c>
      <c r="BC38" s="336">
        <f ca="1" t="shared" si="62"/>
      </c>
      <c r="BD38" s="336">
        <f ca="1" t="shared" si="62"/>
      </c>
      <c r="BE38" s="336">
        <f ca="1" t="shared" si="62"/>
      </c>
      <c r="BF38" s="336">
        <f ca="1" t="shared" si="62"/>
      </c>
      <c r="BG38" s="336">
        <f ca="1" t="shared" si="62"/>
      </c>
      <c r="BH38" s="336">
        <f ca="1" t="shared" si="62"/>
      </c>
      <c r="BI38" s="336">
        <f ca="1" t="shared" si="62"/>
      </c>
      <c r="BJ38" s="336">
        <f ca="1" t="shared" si="62"/>
      </c>
      <c r="BK38" s="336">
        <f ca="1" t="shared" si="62"/>
      </c>
      <c r="BL38" s="336">
        <f ca="1" t="shared" si="62"/>
      </c>
      <c r="BM38" s="336">
        <f ca="1" t="shared" si="62"/>
      </c>
      <c r="BN38" s="336">
        <f ca="1" t="shared" si="62"/>
      </c>
      <c r="BO38" s="336">
        <f ca="1" t="shared" si="62"/>
      </c>
      <c r="BQ38" s="176">
        <f aca="true" t="shared" si="81" ref="BQ38:BQ45">BG82</f>
        <v>0</v>
      </c>
      <c r="BR38" s="320">
        <f>IF(BQ38&gt;0,INDEX(MECourses,BQ38,1),"")</f>
      </c>
      <c r="BS38" s="320">
        <f>IF(BQ38&gt;0,INDEX(MECourses,BQ38,4),"")</f>
      </c>
      <c r="BT38" s="153"/>
      <c r="BU38" s="176">
        <f aca="true" t="shared" si="82" ref="BU38:BU45">BH82</f>
        <v>0</v>
      </c>
      <c r="BV38" s="320">
        <f>IF(BU38&gt;0,INDEX(MECourses,BU38,1),"")</f>
      </c>
      <c r="BW38" s="320">
        <f>IF(BU38&gt;0,INDEX(MECourses,BU38,4),"")</f>
      </c>
      <c r="BX38" s="153"/>
      <c r="BY38" s="176">
        <f>BI82</f>
        <v>0</v>
      </c>
      <c r="BZ38" s="320">
        <f aca="true" t="shared" si="83" ref="BZ38:BZ45">IF(BY38&gt;0,INDEX(MECourses,BY38,1),"")</f>
      </c>
      <c r="CA38" s="320">
        <f aca="true" t="shared" si="84" ref="CA38:CA45">IF(BY38&gt;0,INDEX(MECourses,BY38,4),"")</f>
      </c>
    </row>
    <row r="39" spans="2:80" ht="13.5" customHeight="1" thickBot="1">
      <c r="B39" s="130">
        <f t="shared" si="69"/>
      </c>
      <c r="C39" s="39">
        <f t="shared" si="70"/>
      </c>
      <c r="D39" s="43">
        <f t="shared" si="71"/>
      </c>
      <c r="E39" s="318">
        <f t="shared" si="78"/>
      </c>
      <c r="F39" s="130">
        <f t="shared" si="72"/>
      </c>
      <c r="G39" s="39">
        <f t="shared" si="73"/>
      </c>
      <c r="H39" s="43">
        <f t="shared" si="74"/>
      </c>
      <c r="I39" s="153">
        <f t="shared" si="79"/>
      </c>
      <c r="J39" s="130">
        <f t="shared" si="75"/>
      </c>
      <c r="K39" s="39">
        <f t="shared" si="76"/>
      </c>
      <c r="L39" s="43">
        <f t="shared" si="77"/>
      </c>
      <c r="M39" s="153">
        <f t="shared" si="80"/>
      </c>
      <c r="N39" s="380" t="s">
        <v>240</v>
      </c>
      <c r="O39" s="164" t="s">
        <v>16</v>
      </c>
      <c r="P39" s="205"/>
      <c r="Q39" s="205"/>
      <c r="R39" s="245"/>
      <c r="S39" s="307"/>
      <c r="T39" s="307"/>
      <c r="U39" s="307"/>
      <c r="V39" s="307"/>
      <c r="W39" s="205"/>
      <c r="X39" s="205"/>
      <c r="Y39" s="277"/>
      <c r="Z39" s="217" t="s">
        <v>55</v>
      </c>
      <c r="AA39" s="10"/>
      <c r="AD39" s="1">
        <v>39</v>
      </c>
      <c r="AE39" s="320">
        <f t="shared" si="63"/>
        <v>2000000</v>
      </c>
      <c r="AG39" s="38" t="str">
        <f t="shared" si="64"/>
        <v>MAE 310</v>
      </c>
      <c r="AH39" s="333">
        <f t="shared" si="65"/>
        <v>3</v>
      </c>
      <c r="AI39" s="39">
        <f t="shared" si="66"/>
        <v>0</v>
      </c>
      <c r="AJ39" s="294">
        <f>IF(AN39="y",AG39,IF(AE39=10101,AG39,IF(AE39&gt;999999,"",IF(AE39&lt;=AE31,"PREREQ ERROR_MAE/CE 271",IF(NOT(OR(AND(AE39&gt;AE36,AE36&lt;999999),AND(AE39&gt;AE29,AE29&lt;999999),AND(AE39&gt;AE63,AE63&lt;999999),AND(AE39&gt;AE64,AE64&lt;999999))),"PREREQ ERROR_MAE 111, 285, CPE 112 or CHE 197",IF(AE39&lt;=AE7,"PREREQ ERROR_MA 238",AG39))))))</f>
      </c>
      <c r="AK39" s="158" t="b">
        <f t="shared" si="67"/>
        <v>0</v>
      </c>
      <c r="AL39" s="320">
        <f t="shared" si="68"/>
        <v>2000000</v>
      </c>
      <c r="AM39" s="139"/>
      <c r="AN39" s="108"/>
      <c r="BA39" s="336">
        <f ca="1" t="shared" si="62"/>
      </c>
      <c r="BB39" s="336">
        <f ca="1" t="shared" si="62"/>
      </c>
      <c r="BC39" s="336">
        <f ca="1" t="shared" si="62"/>
      </c>
      <c r="BD39" s="336">
        <f ca="1" t="shared" si="62"/>
      </c>
      <c r="BE39" s="336">
        <f ca="1" t="shared" si="62"/>
      </c>
      <c r="BF39" s="336">
        <f ca="1" t="shared" si="62"/>
      </c>
      <c r="BG39" s="336">
        <f ca="1" t="shared" si="62"/>
      </c>
      <c r="BH39" s="336">
        <f ca="1" t="shared" si="62"/>
      </c>
      <c r="BI39" s="336">
        <f ca="1" t="shared" si="62"/>
      </c>
      <c r="BJ39" s="336">
        <f ca="1" t="shared" si="62"/>
      </c>
      <c r="BK39" s="336">
        <f ca="1" t="shared" si="62"/>
      </c>
      <c r="BL39" s="336">
        <f ca="1" t="shared" si="62"/>
      </c>
      <c r="BM39" s="336">
        <f ca="1" t="shared" si="62"/>
      </c>
      <c r="BN39" s="336">
        <f ca="1" t="shared" si="62"/>
      </c>
      <c r="BO39" s="336">
        <f ca="1" t="shared" si="62"/>
      </c>
      <c r="BQ39" s="176">
        <f t="shared" si="81"/>
        <v>0</v>
      </c>
      <c r="BR39" s="320">
        <f aca="true" t="shared" si="85" ref="BR39:BR45">IF(BQ39&gt;0,INDEX(MECourses,BQ39,1),"")</f>
      </c>
      <c r="BS39" s="320">
        <f aca="true" t="shared" si="86" ref="BS39:BS45">IF(BQ39&gt;0,INDEX(MECourses,BQ39,4),"")</f>
      </c>
      <c r="BT39" s="153"/>
      <c r="BU39" s="176">
        <f t="shared" si="82"/>
        <v>0</v>
      </c>
      <c r="BV39" s="320">
        <f aca="true" t="shared" si="87" ref="BV39:BV45">IF(BU39&gt;0,INDEX(MECourses,BU39,1),"")</f>
      </c>
      <c r="BW39" s="320">
        <f aca="true" t="shared" si="88" ref="BW39:BW45">IF(BU39&gt;0,INDEX(MECourses,BU39,4),"")</f>
      </c>
      <c r="BX39" s="153"/>
      <c r="BY39" s="178">
        <f>BI83</f>
        <v>0</v>
      </c>
      <c r="BZ39" s="320">
        <f t="shared" si="83"/>
      </c>
      <c r="CA39" s="320">
        <f t="shared" si="84"/>
      </c>
      <c r="CB39" s="153"/>
    </row>
    <row r="40" spans="2:80" ht="13.5" customHeight="1">
      <c r="B40" s="324">
        <f t="shared" si="69"/>
      </c>
      <c r="C40" s="39">
        <f t="shared" si="70"/>
      </c>
      <c r="D40" s="43">
        <f t="shared" si="71"/>
      </c>
      <c r="E40" s="318">
        <f t="shared" si="78"/>
      </c>
      <c r="F40" s="130">
        <f t="shared" si="72"/>
      </c>
      <c r="G40" s="39">
        <f t="shared" si="73"/>
      </c>
      <c r="H40" s="43">
        <f t="shared" si="74"/>
      </c>
      <c r="I40" s="153">
        <f t="shared" si="79"/>
      </c>
      <c r="J40" s="130">
        <f t="shared" si="75"/>
      </c>
      <c r="K40" s="39">
        <f t="shared" si="76"/>
      </c>
      <c r="L40" s="43">
        <f t="shared" si="77"/>
      </c>
      <c r="M40" s="153">
        <f t="shared" si="80"/>
      </c>
      <c r="N40" s="380"/>
      <c r="O40" s="84"/>
      <c r="P40" s="86"/>
      <c r="Q40" s="95"/>
      <c r="R40" s="236" t="s">
        <v>174</v>
      </c>
      <c r="S40" s="236">
        <f>IF(LEFT(Q40,1)="a",4,IF(LEFT(Q40,1)="b",3,IF(LEFT(Q40,1)="c",2,IF(LEFT(Q40,1)="d",1,0))))*X40</f>
        <v>0</v>
      </c>
      <c r="T40" s="236">
        <f t="shared" si="10"/>
      </c>
      <c r="U40" s="236">
        <f t="shared" si="8"/>
        <v>0</v>
      </c>
      <c r="V40" s="236">
        <f t="shared" si="9"/>
      </c>
      <c r="W40" s="314" t="s">
        <v>113</v>
      </c>
      <c r="X40" s="48">
        <v>3</v>
      </c>
      <c r="Y40" s="49" t="s">
        <v>17</v>
      </c>
      <c r="Z40" s="25" t="s">
        <v>300</v>
      </c>
      <c r="AA40" s="11"/>
      <c r="AD40" s="1">
        <v>40</v>
      </c>
      <c r="AE40" s="320">
        <f t="shared" si="63"/>
        <v>2000000</v>
      </c>
      <c r="AG40" s="38" t="str">
        <f t="shared" si="64"/>
        <v>MAE 311</v>
      </c>
      <c r="AH40" s="333">
        <f t="shared" si="65"/>
        <v>3</v>
      </c>
      <c r="AI40" s="39">
        <f t="shared" si="66"/>
        <v>0</v>
      </c>
      <c r="AJ40" s="294">
        <f>IF(AN40="y",AG40,IF(AE40=10101,AG40,IF(AE40&gt;999999,"",IF(AE40&lt;=AE33,"PREREQ ERROR_EE 213",IF(AE40&lt;=AE35,"PREREQ ERROR_MAE 100",AG40)))))</f>
      </c>
      <c r="AK40" s="158" t="b">
        <f t="shared" si="67"/>
        <v>0</v>
      </c>
      <c r="AL40" s="320">
        <f t="shared" si="68"/>
        <v>2000000</v>
      </c>
      <c r="AM40" s="139"/>
      <c r="AN40" s="108"/>
      <c r="BA40" s="336">
        <f ca="1" t="shared" si="62"/>
      </c>
      <c r="BB40" s="336">
        <f ca="1" t="shared" si="62"/>
      </c>
      <c r="BC40" s="336">
        <f ca="1" t="shared" si="62"/>
      </c>
      <c r="BD40" s="336">
        <f ca="1" t="shared" si="62"/>
      </c>
      <c r="BE40" s="336">
        <f ca="1" t="shared" si="62"/>
      </c>
      <c r="BF40" s="336">
        <f ca="1" t="shared" si="62"/>
      </c>
      <c r="BG40" s="336">
        <f ca="1" t="shared" si="62"/>
      </c>
      <c r="BH40" s="336">
        <f ca="1" t="shared" si="62"/>
      </c>
      <c r="BI40" s="336">
        <f ca="1" t="shared" si="62"/>
      </c>
      <c r="BJ40" s="336">
        <f ca="1" t="shared" si="62"/>
      </c>
      <c r="BK40" s="336">
        <f ca="1" t="shared" si="62"/>
      </c>
      <c r="BL40" s="336">
        <f ca="1" t="shared" si="62"/>
      </c>
      <c r="BM40" s="336">
        <f ca="1" t="shared" si="62"/>
      </c>
      <c r="BN40" s="336">
        <f ca="1" t="shared" si="62"/>
      </c>
      <c r="BO40" s="336">
        <f ca="1" t="shared" si="62"/>
      </c>
      <c r="BQ40" s="176">
        <f t="shared" si="81"/>
        <v>0</v>
      </c>
      <c r="BR40" s="320">
        <f t="shared" si="85"/>
      </c>
      <c r="BS40" s="320">
        <f t="shared" si="86"/>
      </c>
      <c r="BT40" s="153"/>
      <c r="BU40" s="176">
        <f t="shared" si="82"/>
        <v>0</v>
      </c>
      <c r="BV40" s="320">
        <f t="shared" si="87"/>
      </c>
      <c r="BW40" s="320">
        <f t="shared" si="88"/>
      </c>
      <c r="BX40" s="153"/>
      <c r="BY40" s="178">
        <f aca="true" t="shared" si="89" ref="BY40:BY45">BI84</f>
        <v>0</v>
      </c>
      <c r="BZ40" s="320">
        <f t="shared" si="83"/>
      </c>
      <c r="CA40" s="320">
        <f t="shared" si="84"/>
      </c>
      <c r="CB40" s="153"/>
    </row>
    <row r="41" spans="2:80" ht="13.5" customHeight="1">
      <c r="B41" s="130">
        <f t="shared" si="69"/>
      </c>
      <c r="C41" s="39">
        <f t="shared" si="70"/>
      </c>
      <c r="D41" s="43">
        <f t="shared" si="71"/>
      </c>
      <c r="E41" s="318">
        <f t="shared" si="78"/>
      </c>
      <c r="F41" s="130">
        <f t="shared" si="72"/>
      </c>
      <c r="G41" s="39">
        <f t="shared" si="73"/>
      </c>
      <c r="H41" s="43">
        <f t="shared" si="74"/>
      </c>
      <c r="I41" s="318">
        <f t="shared" si="79"/>
      </c>
      <c r="J41" s="130">
        <f t="shared" si="75"/>
      </c>
      <c r="K41" s="39">
        <f t="shared" si="76"/>
      </c>
      <c r="L41" s="43">
        <f t="shared" si="77"/>
      </c>
      <c r="M41" s="153">
        <f t="shared" si="80"/>
      </c>
      <c r="N41" s="380"/>
      <c r="O41" s="69"/>
      <c r="P41" s="75"/>
      <c r="Q41" s="97"/>
      <c r="R41" s="238" t="s">
        <v>174</v>
      </c>
      <c r="S41" s="238">
        <f>IF(LEFT(Q41,1)="a",4,IF(LEFT(Q41,1)="b",3,IF(LEFT(Q41,1)="c",2,IF(LEFT(Q41,1)="d",1,0))))*X41</f>
        <v>0</v>
      </c>
      <c r="T41" s="238">
        <f t="shared" si="10"/>
      </c>
      <c r="U41" s="238">
        <f t="shared" si="8"/>
        <v>0</v>
      </c>
      <c r="V41" s="238">
        <f t="shared" si="9"/>
      </c>
      <c r="W41" s="34" t="s">
        <v>18</v>
      </c>
      <c r="X41" s="7">
        <v>3</v>
      </c>
      <c r="Y41" s="9" t="s">
        <v>19</v>
      </c>
      <c r="Z41" s="16" t="s">
        <v>278</v>
      </c>
      <c r="AA41" s="12"/>
      <c r="AD41" s="1">
        <v>41</v>
      </c>
      <c r="AE41" s="320">
        <f t="shared" si="63"/>
        <v>2000000</v>
      </c>
      <c r="AG41" s="38" t="str">
        <f t="shared" si="64"/>
        <v>MAE 342</v>
      </c>
      <c r="AH41" s="333">
        <f t="shared" si="65"/>
        <v>3</v>
      </c>
      <c r="AI41" s="39">
        <f t="shared" si="66"/>
        <v>0</v>
      </c>
      <c r="AJ41" s="294">
        <f>IF(AN41="y",AG41,IF(AE41=10101,AG41,IF(AE41&gt;999999,"",IF(AE41&lt;=AE32,"PREREQ ERROR_MAE 341",IF(AE41&lt;=AE7,"PREREQ ERROR_MA 238",IF(AE41&lt;AE38,"PREREQ w/Con ERROR_MAE 284",AG41))))))</f>
      </c>
      <c r="AK41" s="158" t="b">
        <f t="shared" si="67"/>
        <v>0</v>
      </c>
      <c r="AL41" s="320">
        <f t="shared" si="68"/>
        <v>2000000</v>
      </c>
      <c r="AM41" s="139"/>
      <c r="AN41" s="77"/>
      <c r="BA41" s="336">
        <f ca="1" t="shared" si="62"/>
      </c>
      <c r="BB41" s="336">
        <f ca="1" t="shared" si="62"/>
      </c>
      <c r="BC41" s="336">
        <f ca="1" t="shared" si="62"/>
      </c>
      <c r="BD41" s="336">
        <f ca="1" t="shared" si="62"/>
      </c>
      <c r="BE41" s="336">
        <f ca="1" t="shared" si="62"/>
      </c>
      <c r="BF41" s="336">
        <f ca="1" t="shared" si="62"/>
      </c>
      <c r="BG41" s="336">
        <f ca="1" t="shared" si="62"/>
      </c>
      <c r="BH41" s="336">
        <f ca="1" t="shared" si="62"/>
      </c>
      <c r="BI41" s="336">
        <f ca="1" t="shared" si="62"/>
      </c>
      <c r="BJ41" s="336">
        <f ca="1" t="shared" si="62"/>
      </c>
      <c r="BK41" s="336">
        <f ca="1" t="shared" si="62"/>
      </c>
      <c r="BL41" s="336">
        <f ca="1" t="shared" si="62"/>
      </c>
      <c r="BM41" s="336">
        <f ca="1" t="shared" si="62"/>
      </c>
      <c r="BN41" s="336">
        <f ca="1" t="shared" si="62"/>
      </c>
      <c r="BO41" s="336">
        <f ca="1" t="shared" si="62"/>
      </c>
      <c r="BQ41" s="176">
        <f t="shared" si="81"/>
        <v>0</v>
      </c>
      <c r="BR41" s="320">
        <f t="shared" si="85"/>
      </c>
      <c r="BS41" s="320">
        <f t="shared" si="86"/>
      </c>
      <c r="BT41" s="153"/>
      <c r="BU41" s="176">
        <f t="shared" si="82"/>
        <v>0</v>
      </c>
      <c r="BV41" s="320">
        <f t="shared" si="87"/>
      </c>
      <c r="BW41" s="320">
        <f t="shared" si="88"/>
      </c>
      <c r="BX41" s="153"/>
      <c r="BY41" s="178">
        <f t="shared" si="89"/>
        <v>0</v>
      </c>
      <c r="BZ41" s="320">
        <f t="shared" si="83"/>
      </c>
      <c r="CA41" s="320">
        <f t="shared" si="84"/>
      </c>
      <c r="CB41" s="153"/>
    </row>
    <row r="42" spans="2:80" ht="13.5" customHeight="1">
      <c r="B42" s="130">
        <f t="shared" si="69"/>
      </c>
      <c r="C42" s="39">
        <f t="shared" si="70"/>
      </c>
      <c r="D42" s="43">
        <f t="shared" si="71"/>
      </c>
      <c r="E42" s="318">
        <f t="shared" si="78"/>
      </c>
      <c r="F42" s="130">
        <f t="shared" si="72"/>
      </c>
      <c r="G42" s="39">
        <f t="shared" si="73"/>
      </c>
      <c r="H42" s="43">
        <f t="shared" si="74"/>
      </c>
      <c r="I42" s="153">
        <f t="shared" si="79"/>
      </c>
      <c r="J42" s="130">
        <f t="shared" si="75"/>
      </c>
      <c r="K42" s="39">
        <f t="shared" si="76"/>
      </c>
      <c r="L42" s="43">
        <f t="shared" si="77"/>
      </c>
      <c r="M42" s="153">
        <f t="shared" si="80"/>
      </c>
      <c r="N42" s="380"/>
      <c r="O42" s="69"/>
      <c r="P42" s="75"/>
      <c r="Q42" s="97"/>
      <c r="R42" s="238" t="s">
        <v>174</v>
      </c>
      <c r="S42" s="238">
        <f>IF(LEFT(Q42,1)="a",4,IF(LEFT(Q42,1)="b",3,IF(LEFT(Q42,1)="c",2,IF(LEFT(Q42,1)="d",1,0))))*X42</f>
        <v>0</v>
      </c>
      <c r="T42" s="238">
        <f t="shared" si="10"/>
      </c>
      <c r="U42" s="238">
        <f t="shared" si="8"/>
        <v>0</v>
      </c>
      <c r="V42" s="238">
        <f t="shared" si="9"/>
      </c>
      <c r="W42" s="34" t="s">
        <v>100</v>
      </c>
      <c r="X42" s="7">
        <v>3</v>
      </c>
      <c r="Y42" s="18" t="s">
        <v>229</v>
      </c>
      <c r="Z42" s="16" t="s">
        <v>301</v>
      </c>
      <c r="AA42" s="10"/>
      <c r="AD42" s="1">
        <v>42</v>
      </c>
      <c r="AE42" s="320">
        <f t="shared" si="63"/>
        <v>2000000</v>
      </c>
      <c r="AG42" s="38" t="str">
        <f t="shared" si="64"/>
        <v>MAE 364</v>
      </c>
      <c r="AH42" s="333">
        <f t="shared" si="65"/>
        <v>4</v>
      </c>
      <c r="AI42" s="39">
        <f t="shared" si="66"/>
        <v>0</v>
      </c>
      <c r="AJ42" s="294">
        <f>IF(AN42="y",AG42,IF(AE42=10101,AG42,IF(AE42&gt;999999,"",IF(AE42&lt;=AF36,"PREREQ ERROR_MAE 110 or MAE 111",IF(AE42&lt;=AE37,"PREREQ ERROR_MAE/CE 272",AG42)))))</f>
      </c>
      <c r="AK42" s="158" t="b">
        <f t="shared" si="67"/>
        <v>0</v>
      </c>
      <c r="AL42" s="320">
        <f t="shared" si="68"/>
        <v>2000000</v>
      </c>
      <c r="AM42" s="139"/>
      <c r="AN42" s="77"/>
      <c r="BA42" s="336">
        <f ca="1" t="shared" si="62"/>
      </c>
      <c r="BB42" s="336">
        <f ca="1" t="shared" si="62"/>
      </c>
      <c r="BC42" s="336">
        <f ca="1" t="shared" si="62"/>
      </c>
      <c r="BD42" s="336">
        <f ca="1" t="shared" si="62"/>
      </c>
      <c r="BE42" s="336">
        <f ca="1" t="shared" si="62"/>
      </c>
      <c r="BF42" s="336">
        <f ca="1" t="shared" si="62"/>
      </c>
      <c r="BG42" s="336">
        <f ca="1" t="shared" si="62"/>
      </c>
      <c r="BH42" s="336">
        <f ca="1" t="shared" si="62"/>
      </c>
      <c r="BI42" s="336">
        <f ca="1" t="shared" si="62"/>
      </c>
      <c r="BJ42" s="336">
        <f ca="1" t="shared" si="62"/>
      </c>
      <c r="BK42" s="336">
        <f ca="1" t="shared" si="62"/>
      </c>
      <c r="BL42" s="336">
        <f ca="1" t="shared" si="62"/>
      </c>
      <c r="BM42" s="336">
        <f ca="1" t="shared" si="62"/>
      </c>
      <c r="BN42" s="336">
        <f ca="1" t="shared" si="62"/>
      </c>
      <c r="BO42" s="336">
        <f ca="1" t="shared" si="62"/>
      </c>
      <c r="BQ42" s="176">
        <f t="shared" si="81"/>
        <v>0</v>
      </c>
      <c r="BR42" s="320">
        <f t="shared" si="85"/>
      </c>
      <c r="BS42" s="320">
        <f t="shared" si="86"/>
      </c>
      <c r="BT42" s="153"/>
      <c r="BU42" s="176">
        <f t="shared" si="82"/>
        <v>0</v>
      </c>
      <c r="BV42" s="320">
        <f t="shared" si="87"/>
      </c>
      <c r="BW42" s="320">
        <f t="shared" si="88"/>
      </c>
      <c r="BX42" s="153"/>
      <c r="BY42" s="178">
        <f t="shared" si="89"/>
        <v>0</v>
      </c>
      <c r="BZ42" s="320">
        <f t="shared" si="83"/>
      </c>
      <c r="CA42" s="320">
        <f t="shared" si="84"/>
      </c>
      <c r="CB42" s="153"/>
    </row>
    <row r="43" spans="2:80" ht="13.5" customHeight="1" thickBot="1">
      <c r="B43" s="369">
        <f t="shared" si="69"/>
      </c>
      <c r="C43" s="370">
        <f t="shared" si="70"/>
      </c>
      <c r="D43" s="371">
        <f t="shared" si="71"/>
      </c>
      <c r="E43" s="318">
        <f t="shared" si="78"/>
      </c>
      <c r="F43" s="369">
        <f t="shared" si="72"/>
      </c>
      <c r="G43" s="370">
        <f t="shared" si="73"/>
      </c>
      <c r="H43" s="371">
        <f t="shared" si="74"/>
      </c>
      <c r="I43" s="153">
        <f t="shared" si="79"/>
      </c>
      <c r="J43" s="369">
        <f t="shared" si="75"/>
      </c>
      <c r="K43" s="370">
        <f t="shared" si="76"/>
      </c>
      <c r="L43" s="371">
        <f t="shared" si="77"/>
      </c>
      <c r="M43" s="153">
        <f t="shared" si="80"/>
      </c>
      <c r="N43" s="380"/>
      <c r="O43" s="127"/>
      <c r="P43" s="90"/>
      <c r="Q43" s="228"/>
      <c r="R43" s="239" t="s">
        <v>174</v>
      </c>
      <c r="S43" s="237">
        <f>IF(LEFT(Q43,1)="a",4,IF(LEFT(Q43,1)="b",3,IF(LEFT(Q43,1)="c",2,IF(LEFT(Q43,1)="d",1,0))))*X43</f>
        <v>0</v>
      </c>
      <c r="T43" s="237">
        <f t="shared" si="10"/>
      </c>
      <c r="U43" s="237">
        <f t="shared" si="8"/>
        <v>0</v>
      </c>
      <c r="V43" s="237">
        <f t="shared" si="9"/>
      </c>
      <c r="W43" s="52" t="s">
        <v>20</v>
      </c>
      <c r="X43" s="53">
        <v>3</v>
      </c>
      <c r="Y43" s="54" t="s">
        <v>21</v>
      </c>
      <c r="Z43" s="16" t="s">
        <v>86</v>
      </c>
      <c r="AA43" s="10"/>
      <c r="AD43" s="1">
        <v>43</v>
      </c>
      <c r="AE43" s="320">
        <f t="shared" si="63"/>
        <v>2000000</v>
      </c>
      <c r="AG43" s="38" t="str">
        <f t="shared" si="64"/>
        <v>MAE 370</v>
      </c>
      <c r="AH43" s="333">
        <f t="shared" si="65"/>
        <v>4</v>
      </c>
      <c r="AI43" s="39">
        <f t="shared" si="66"/>
        <v>0</v>
      </c>
      <c r="AJ43" s="294">
        <f>IF(AN43="y",AG43,IF(AE43=10101,AG43,IF(AE43&gt;999999,"",IF(AE43&lt;=AE31,"PREREQ ERROR_MAE/CE 271",IF(AE43&gt;AE29,AG43,IF(AE43&lt;=AE8,"PREREQ ERROR_MA 244",IF(AM43,"PREREQ ERROR_MA 244 &amp; (MAE 110, 111 or CPE 112) or MAE 285",AG43)))))))</f>
      </c>
      <c r="AK43" s="158" t="b">
        <f t="shared" si="67"/>
        <v>0</v>
      </c>
      <c r="AL43" s="320">
        <f t="shared" si="68"/>
        <v>2000000</v>
      </c>
      <c r="AM43" s="139" t="b">
        <f>NOT(OR(AND(AE43&gt;AE28,AE28&lt;999999),AND(AE43&gt;AE36,AE36&lt;999999),AND(AE43&gt;AE63,AE63&lt;999999)))</f>
        <v>1</v>
      </c>
      <c r="AN43" s="77"/>
      <c r="BA43" s="336">
        <f ca="1" t="shared" si="62"/>
      </c>
      <c r="BB43" s="336">
        <f ca="1" t="shared" si="62"/>
      </c>
      <c r="BC43" s="336">
        <f ca="1" t="shared" si="62"/>
      </c>
      <c r="BD43" s="336">
        <f ca="1" t="shared" si="62"/>
      </c>
      <c r="BE43" s="336">
        <f ca="1" t="shared" si="62"/>
      </c>
      <c r="BF43" s="336">
        <f ca="1" t="shared" si="62"/>
      </c>
      <c r="BG43" s="336">
        <f ca="1" t="shared" si="62"/>
      </c>
      <c r="BH43" s="336">
        <f ca="1" t="shared" si="62"/>
      </c>
      <c r="BI43" s="336">
        <f ca="1" t="shared" si="62"/>
      </c>
      <c r="BJ43" s="336">
        <f ca="1" t="shared" si="62"/>
      </c>
      <c r="BK43" s="336">
        <f ca="1" t="shared" si="62"/>
      </c>
      <c r="BL43" s="336">
        <f ca="1" t="shared" si="62"/>
      </c>
      <c r="BM43" s="336">
        <f ca="1" t="shared" si="62"/>
      </c>
      <c r="BN43" s="336">
        <f ca="1" t="shared" si="62"/>
      </c>
      <c r="BO43" s="336">
        <f ca="1" t="shared" si="62"/>
      </c>
      <c r="BQ43" s="176">
        <f t="shared" si="81"/>
        <v>0</v>
      </c>
      <c r="BR43" s="320">
        <f t="shared" si="85"/>
      </c>
      <c r="BS43" s="320">
        <f t="shared" si="86"/>
      </c>
      <c r="BT43" s="153"/>
      <c r="BU43" s="176">
        <f t="shared" si="82"/>
        <v>0</v>
      </c>
      <c r="BV43" s="320">
        <f t="shared" si="87"/>
      </c>
      <c r="BW43" s="320">
        <f t="shared" si="88"/>
      </c>
      <c r="BX43" s="153"/>
      <c r="BY43" s="178">
        <f t="shared" si="89"/>
        <v>0</v>
      </c>
      <c r="BZ43" s="320">
        <f t="shared" si="83"/>
      </c>
      <c r="CA43" s="320">
        <f t="shared" si="84"/>
      </c>
      <c r="CB43" s="153"/>
    </row>
    <row r="44" spans="2:80" ht="13.5" customHeight="1" thickBot="1" thickTop="1">
      <c r="B44" s="372">
        <f>IF(BQ45&lt;&gt;0,"Excess "&amp;BQ45,"")</f>
      </c>
      <c r="C44" s="373">
        <f>SUM(C37:C43)</f>
        <v>0</v>
      </c>
      <c r="D44" s="374"/>
      <c r="E44" s="153"/>
      <c r="F44" s="372">
        <f>IF(BU45&lt;&gt;0,"Excess "&amp;BU45,"")</f>
      </c>
      <c r="G44" s="373">
        <f>SUM(G37:G43)</f>
        <v>0</v>
      </c>
      <c r="H44" s="374"/>
      <c r="I44" s="153"/>
      <c r="J44" s="372">
        <f>IF(BY45&lt;&gt;0,"Excess "&amp;BY45,"")</f>
      </c>
      <c r="K44" s="373">
        <f>SUM(K37:K43)</f>
        <v>0</v>
      </c>
      <c r="L44" s="374"/>
      <c r="M44" s="153"/>
      <c r="N44" s="380"/>
      <c r="O44" s="146" t="s">
        <v>226</v>
      </c>
      <c r="P44" s="147"/>
      <c r="Q44" s="147"/>
      <c r="R44" s="233"/>
      <c r="S44" s="310"/>
      <c r="T44" s="310"/>
      <c r="U44" s="310"/>
      <c r="V44" s="310"/>
      <c r="W44" s="147"/>
      <c r="X44" s="147"/>
      <c r="Y44" s="148"/>
      <c r="Z44" s="217" t="s">
        <v>55</v>
      </c>
      <c r="AD44" s="1">
        <v>44</v>
      </c>
      <c r="AE44" s="320">
        <f t="shared" si="63"/>
        <v>2000000</v>
      </c>
      <c r="AG44" s="38" t="str">
        <f t="shared" si="64"/>
        <v>MAE 378</v>
      </c>
      <c r="AH44" s="333">
        <f t="shared" si="65"/>
        <v>3</v>
      </c>
      <c r="AI44" s="39">
        <f t="shared" si="66"/>
        <v>0</v>
      </c>
      <c r="AJ44" s="294">
        <f>IF(AN44="y",AG44,IF(AE44=10101,AG44,IF(AE44&gt;999999,"",IF(AE44&lt;=AE43,"PREREQ ERROR_MAE/CE 370",AG44))))</f>
      </c>
      <c r="AK44" s="158" t="b">
        <f t="shared" si="67"/>
        <v>0</v>
      </c>
      <c r="AL44" s="320">
        <f t="shared" si="68"/>
        <v>2000000</v>
      </c>
      <c r="AM44" s="139"/>
      <c r="AN44" s="77"/>
      <c r="BA44" s="336">
        <f ca="1" t="shared" si="62"/>
      </c>
      <c r="BB44" s="336">
        <f ca="1" t="shared" si="62"/>
      </c>
      <c r="BC44" s="336">
        <f ca="1" t="shared" si="62"/>
      </c>
      <c r="BD44" s="336">
        <f ca="1" t="shared" si="62"/>
      </c>
      <c r="BE44" s="336">
        <f ca="1" t="shared" si="62"/>
      </c>
      <c r="BF44" s="336">
        <f ca="1" t="shared" si="62"/>
      </c>
      <c r="BG44" s="336">
        <f ca="1" t="shared" si="62"/>
      </c>
      <c r="BH44" s="336">
        <f ca="1" t="shared" si="62"/>
      </c>
      <c r="BI44" s="336">
        <f ca="1" t="shared" si="62"/>
      </c>
      <c r="BJ44" s="336">
        <f ca="1" t="shared" si="62"/>
      </c>
      <c r="BK44" s="336">
        <f ca="1" t="shared" si="62"/>
      </c>
      <c r="BL44" s="336">
        <f ca="1" t="shared" si="62"/>
      </c>
      <c r="BM44" s="336">
        <f ca="1" t="shared" si="62"/>
      </c>
      <c r="BN44" s="336">
        <f ca="1" t="shared" si="62"/>
      </c>
      <c r="BO44" s="336">
        <f ca="1" t="shared" si="62"/>
      </c>
      <c r="BQ44" s="176">
        <f t="shared" si="81"/>
        <v>0</v>
      </c>
      <c r="BR44" s="320">
        <f t="shared" si="85"/>
      </c>
      <c r="BS44" s="320">
        <f t="shared" si="86"/>
      </c>
      <c r="BT44" s="153"/>
      <c r="BU44" s="176">
        <f t="shared" si="82"/>
        <v>0</v>
      </c>
      <c r="BV44" s="320">
        <f t="shared" si="87"/>
      </c>
      <c r="BW44" s="320">
        <f t="shared" si="88"/>
      </c>
      <c r="BX44" s="153"/>
      <c r="BY44" s="178">
        <f t="shared" si="89"/>
        <v>0</v>
      </c>
      <c r="BZ44" s="320">
        <f t="shared" si="83"/>
      </c>
      <c r="CA44" s="320">
        <f t="shared" si="84"/>
      </c>
      <c r="CB44" s="153"/>
    </row>
    <row r="45" spans="2:80" ht="13.5" customHeight="1">
      <c r="B45" s="138"/>
      <c r="C45" s="152" t="s">
        <v>137</v>
      </c>
      <c r="D45" s="154">
        <f>IF(SUMIF(E37:E43,"&gt;=0",C37:C43)&gt;0,SUM(E37:E43)/SUMIF(E37:E43,"&gt;=0",C37:C43),"")</f>
      </c>
      <c r="E45" s="153"/>
      <c r="F45" s="139"/>
      <c r="G45" s="152" t="s">
        <v>137</v>
      </c>
      <c r="H45" s="154">
        <f>IF(SUMIF(I37:I43,"&gt;=0",G37:G43)&gt;0,SUM(I37:I43)/SUMIF(I37:I43,"&gt;=0",G37:G43),"")</f>
      </c>
      <c r="I45" s="153"/>
      <c r="J45" s="139"/>
      <c r="K45" s="152" t="s">
        <v>137</v>
      </c>
      <c r="L45" s="154">
        <f>IF(SUMIF(M37:M43,"&gt;=0",K37:K43)&gt;0,SUM(M37:M43)/SUMIF(M37:M43,"&gt;=0",K37:K43),"")</f>
      </c>
      <c r="M45" s="153"/>
      <c r="N45" s="45"/>
      <c r="O45" s="84"/>
      <c r="P45" s="86"/>
      <c r="Q45" s="95"/>
      <c r="R45" s="236" t="s">
        <v>174</v>
      </c>
      <c r="S45" s="236">
        <f aca="true" t="shared" si="90" ref="S45:S64">IF(LEFT(Q45,1)="a",4,IF(LEFT(Q45,1)="b",3,IF(LEFT(Q45,1)="c",2,IF(LEFT(Q45,1)="d",1,0))))*X45</f>
        <v>0</v>
      </c>
      <c r="T45" s="236">
        <f t="shared" si="10"/>
      </c>
      <c r="U45" s="236">
        <f t="shared" si="8"/>
        <v>0</v>
      </c>
      <c r="V45" s="236">
        <f t="shared" si="9"/>
      </c>
      <c r="W45" s="47" t="s">
        <v>22</v>
      </c>
      <c r="X45" s="223">
        <v>2</v>
      </c>
      <c r="Y45" s="62" t="s">
        <v>230</v>
      </c>
      <c r="Z45" s="16" t="s">
        <v>279</v>
      </c>
      <c r="AD45" s="1">
        <v>45</v>
      </c>
      <c r="AE45" s="320">
        <f t="shared" si="63"/>
        <v>2000000</v>
      </c>
      <c r="AG45" s="38" t="str">
        <f t="shared" si="64"/>
        <v>MAE 450</v>
      </c>
      <c r="AH45" s="333">
        <f t="shared" si="65"/>
        <v>4</v>
      </c>
      <c r="AI45" s="39">
        <f t="shared" si="66"/>
        <v>0</v>
      </c>
      <c r="AJ45" s="294">
        <f>IF(AN45="y",AG45,IF(AE45=10101,AG45,IF(AE45&gt;999999,"",IF(NOT(OR(AND(AE45&gt;AE38,AE38&lt;999999),AND(AE45&gt;AE30,AE30&lt;999999))),"PREREQ ERROR_MAE 284 or 385",IF(AE45&lt;=AE39,"PREREQ ERROR_MAE 310",IF(AE45&lt;=AE40,"PREREQ ERROR_MAE 311",IF(AE45&lt;=AE32,"PREREQ ERROR_MAE 341",AG45)))))))</f>
      </c>
      <c r="AK45" s="158" t="b">
        <f t="shared" si="67"/>
        <v>0</v>
      </c>
      <c r="AL45" s="320">
        <f t="shared" si="68"/>
        <v>2000000</v>
      </c>
      <c r="AM45" s="139"/>
      <c r="AN45" s="77"/>
      <c r="BA45" s="336">
        <f ca="1" t="shared" si="62"/>
      </c>
      <c r="BB45" s="336">
        <f ca="1" t="shared" si="62"/>
      </c>
      <c r="BC45" s="336">
        <f ca="1" t="shared" si="62"/>
      </c>
      <c r="BD45" s="336">
        <f ca="1" t="shared" si="62"/>
      </c>
      <c r="BE45" s="336">
        <f ca="1" t="shared" si="62"/>
      </c>
      <c r="BF45" s="336">
        <f ca="1" t="shared" si="62"/>
      </c>
      <c r="BG45" s="336">
        <f ca="1" t="shared" si="62"/>
      </c>
      <c r="BH45" s="336">
        <f ca="1" t="shared" si="62"/>
      </c>
      <c r="BI45" s="336">
        <f ca="1" t="shared" si="62"/>
      </c>
      <c r="BJ45" s="336">
        <f ca="1" t="shared" si="62"/>
      </c>
      <c r="BK45" s="336">
        <f ca="1" t="shared" si="62"/>
      </c>
      <c r="BL45" s="336">
        <f ca="1" t="shared" si="62"/>
      </c>
      <c r="BM45" s="336">
        <f ca="1" t="shared" si="62"/>
      </c>
      <c r="BN45" s="336">
        <f ca="1" t="shared" si="62"/>
      </c>
      <c r="BO45" s="336">
        <f ca="1" t="shared" si="62"/>
      </c>
      <c r="BQ45" s="176">
        <f t="shared" si="81"/>
        <v>0</v>
      </c>
      <c r="BR45" s="320">
        <f t="shared" si="85"/>
      </c>
      <c r="BS45" s="320">
        <f t="shared" si="86"/>
      </c>
      <c r="BT45" s="153"/>
      <c r="BU45" s="176">
        <f t="shared" si="82"/>
        <v>0</v>
      </c>
      <c r="BV45" s="320">
        <f t="shared" si="87"/>
      </c>
      <c r="BW45" s="320">
        <f t="shared" si="88"/>
      </c>
      <c r="BX45" s="153"/>
      <c r="BY45" s="178">
        <f t="shared" si="89"/>
        <v>0</v>
      </c>
      <c r="BZ45" s="320">
        <f t="shared" si="83"/>
      </c>
      <c r="CA45" s="320">
        <f t="shared" si="84"/>
      </c>
      <c r="CB45" s="153"/>
    </row>
    <row r="46" spans="2:80" ht="13.5" customHeight="1" thickBot="1">
      <c r="B46" s="36"/>
      <c r="C46" s="36"/>
      <c r="D46" s="36"/>
      <c r="E46" s="153"/>
      <c r="F46" s="124"/>
      <c r="G46" s="36"/>
      <c r="H46" s="36"/>
      <c r="I46" s="153"/>
      <c r="J46" s="36"/>
      <c r="K46" s="36"/>
      <c r="L46" s="36"/>
      <c r="M46" s="153"/>
      <c r="O46" s="69"/>
      <c r="P46" s="75"/>
      <c r="Q46" s="97"/>
      <c r="R46" s="238" t="s">
        <v>174</v>
      </c>
      <c r="S46" s="238">
        <f t="shared" si="90"/>
        <v>0</v>
      </c>
      <c r="T46" s="238">
        <f t="shared" si="10"/>
      </c>
      <c r="U46" s="238">
        <f t="shared" si="8"/>
        <v>0</v>
      </c>
      <c r="V46" s="238">
        <f t="shared" si="9"/>
      </c>
      <c r="W46" s="51" t="s">
        <v>212</v>
      </c>
      <c r="X46" s="13">
        <v>3</v>
      </c>
      <c r="Y46" s="18" t="s">
        <v>231</v>
      </c>
      <c r="Z46" s="16" t="s">
        <v>280</v>
      </c>
      <c r="AD46" s="1">
        <v>46</v>
      </c>
      <c r="AE46" s="320">
        <f t="shared" si="63"/>
        <v>2000000</v>
      </c>
      <c r="AG46" s="38" t="str">
        <f t="shared" si="64"/>
        <v>MAE 455</v>
      </c>
      <c r="AH46" s="333">
        <f t="shared" si="65"/>
        <v>3</v>
      </c>
      <c r="AI46" s="39">
        <f t="shared" si="66"/>
        <v>0</v>
      </c>
      <c r="AJ46" s="294">
        <f>IF(AN46="y",AG46,IF(AE46=10101,AG46,IF(AE46&gt;999999,"",IF(AE46&lt;=AE41,"PREREQ ERROR_MAE 342",IF(AE46&lt;=AE45,"PREREQ ERROR_MAE 450",AG46)))))</f>
      </c>
      <c r="AK46" s="158" t="b">
        <f t="shared" si="67"/>
        <v>0</v>
      </c>
      <c r="AL46" s="320">
        <f t="shared" si="68"/>
        <v>2000000</v>
      </c>
      <c r="AM46" s="139"/>
      <c r="AN46" s="77"/>
      <c r="BA46" s="336">
        <f ca="1" t="shared" si="62"/>
      </c>
      <c r="BB46" s="336">
        <f ca="1" t="shared" si="62"/>
      </c>
      <c r="BC46" s="336">
        <f ca="1" t="shared" si="62"/>
      </c>
      <c r="BD46" s="336">
        <f ca="1" t="shared" si="62"/>
      </c>
      <c r="BE46" s="336">
        <f ca="1" t="shared" si="62"/>
      </c>
      <c r="BF46" s="336">
        <f ca="1" t="shared" si="62"/>
      </c>
      <c r="BG46" s="336">
        <f ca="1" t="shared" si="62"/>
      </c>
      <c r="BH46" s="336">
        <f ca="1" t="shared" si="62"/>
      </c>
      <c r="BI46" s="336">
        <f ca="1" t="shared" si="62"/>
      </c>
      <c r="BJ46" s="336">
        <f ca="1" t="shared" si="62"/>
      </c>
      <c r="BK46" s="336">
        <f ca="1" t="shared" si="62"/>
      </c>
      <c r="BL46" s="336">
        <f ca="1" t="shared" si="62"/>
      </c>
      <c r="BM46" s="336">
        <f ca="1" t="shared" si="62"/>
      </c>
      <c r="BN46" s="336">
        <f ca="1" t="shared" si="62"/>
      </c>
      <c r="BO46" s="336">
        <f ca="1" t="shared" si="62"/>
      </c>
      <c r="BQ46" s="138"/>
      <c r="BT46" s="153"/>
      <c r="BU46" s="139"/>
      <c r="BX46" s="153"/>
      <c r="BY46" s="139"/>
      <c r="CB46" s="153"/>
    </row>
    <row r="47" spans="2:67" ht="13.5" customHeight="1" thickBot="1">
      <c r="B47" s="394" t="str">
        <f>IF(OR($D$5="Spring",$D$5="Summer"),"Fall"&amp;" "&amp;$E$5+2,IF($D$5="Fall","Fall"&amp;" "&amp;$E$5+3,""))</f>
        <v>Fall 2016</v>
      </c>
      <c r="C47" s="395"/>
      <c r="D47" s="396"/>
      <c r="E47" s="156">
        <f>IF(LEFT(B47,2)="Sp",1,IF(LEFT(B47,2)="Su",5,9))+VALUE(RIGHT(B47,4))*100</f>
        <v>201609</v>
      </c>
      <c r="F47" s="394" t="str">
        <f>IF(F11="Spring"&amp;" "&amp;E5+1,"Spring"&amp;" "&amp;E5+4,"Spring"&amp;" "&amp;E5+3)</f>
        <v>Spring 2017</v>
      </c>
      <c r="G47" s="395"/>
      <c r="H47" s="396"/>
      <c r="I47" s="156">
        <f>IF(LEFT(F47,2)="Sp",1,IF(LEFT(F47,2)="Su",5,9))+VALUE(RIGHT(F47,4))*100</f>
        <v>201701</v>
      </c>
      <c r="J47" s="394" t="str">
        <f>IF(J11="Summer"&amp;" "&amp;E5+1,"Summer"&amp;" "&amp;E5+4,"Summer"&amp;" "&amp;E5+3)</f>
        <v>Summer 2017</v>
      </c>
      <c r="K47" s="395"/>
      <c r="L47" s="396"/>
      <c r="M47" s="156">
        <f>IF(LEFT(J47,2)="Sp",1,IF(LEFT(J47,2)="Su",5,9))+VALUE(RIGHT(J47,4))*100</f>
        <v>201705</v>
      </c>
      <c r="N47" s="45"/>
      <c r="O47" s="69"/>
      <c r="P47" s="75"/>
      <c r="Q47" s="97"/>
      <c r="R47" s="238" t="s">
        <v>174</v>
      </c>
      <c r="S47" s="238">
        <f t="shared" si="90"/>
        <v>0</v>
      </c>
      <c r="T47" s="238">
        <f t="shared" si="10"/>
      </c>
      <c r="U47" s="238">
        <f t="shared" si="8"/>
        <v>0</v>
      </c>
      <c r="V47" s="238">
        <f t="shared" si="9"/>
      </c>
      <c r="W47" s="92" t="s">
        <v>25</v>
      </c>
      <c r="X47" s="13">
        <v>3</v>
      </c>
      <c r="Y47" s="18" t="s">
        <v>26</v>
      </c>
      <c r="Z47" s="16" t="s">
        <v>272</v>
      </c>
      <c r="AD47" s="1">
        <v>47</v>
      </c>
      <c r="AE47" s="320">
        <f t="shared" si="63"/>
        <v>2000000</v>
      </c>
      <c r="AG47" s="38" t="str">
        <f t="shared" si="64"/>
        <v>MAE 466</v>
      </c>
      <c r="AH47" s="333">
        <f t="shared" si="65"/>
        <v>3</v>
      </c>
      <c r="AI47" s="39">
        <f t="shared" si="66"/>
        <v>0</v>
      </c>
      <c r="AJ47" s="294">
        <f>IF(AN47="y",AG47,IF(AE47=10101,AG47,IF(AE47&gt;999999,"",IF(AE47&lt;=AE42,"PREREQ ERROR_MAE 364",IF(AE47&lt;=AE43,"PREREQ ERROR_MAE/CE 370",AG47)))))</f>
      </c>
      <c r="AK47" s="158" t="b">
        <f t="shared" si="67"/>
        <v>0</v>
      </c>
      <c r="AL47" s="320">
        <f t="shared" si="68"/>
        <v>2000000</v>
      </c>
      <c r="AM47" s="139"/>
      <c r="AN47" s="77"/>
      <c r="BA47" s="336">
        <f ca="1" t="shared" si="62"/>
      </c>
      <c r="BB47" s="336">
        <f ca="1" t="shared" si="62"/>
      </c>
      <c r="BC47" s="336">
        <f ca="1" t="shared" si="62"/>
      </c>
      <c r="BD47" s="336">
        <f ca="1" t="shared" si="62"/>
      </c>
      <c r="BE47" s="336">
        <f ca="1" t="shared" si="62"/>
      </c>
      <c r="BF47" s="336">
        <f ca="1" t="shared" si="62"/>
      </c>
      <c r="BG47" s="336">
        <f ca="1" t="shared" si="62"/>
      </c>
      <c r="BH47" s="336">
        <f ca="1" t="shared" si="62"/>
      </c>
      <c r="BI47" s="336">
        <f ca="1" t="shared" si="62"/>
      </c>
      <c r="BJ47" s="336">
        <f ca="1" t="shared" si="62"/>
      </c>
      <c r="BK47" s="336">
        <f ca="1" t="shared" si="62"/>
      </c>
      <c r="BL47" s="336">
        <f ca="1" t="shared" si="62"/>
      </c>
      <c r="BM47" s="336">
        <f ca="1" t="shared" si="62"/>
      </c>
      <c r="BN47" s="336">
        <f ca="1" t="shared" si="62"/>
      </c>
      <c r="BO47" s="336">
        <f ca="1" t="shared" si="62"/>
      </c>
    </row>
    <row r="48" spans="2:80" ht="13.5" customHeight="1">
      <c r="B48" s="135" t="s">
        <v>2</v>
      </c>
      <c r="C48" s="136" t="s">
        <v>3</v>
      </c>
      <c r="D48" s="137" t="s">
        <v>4</v>
      </c>
      <c r="E48" s="153"/>
      <c r="F48" s="135" t="s">
        <v>2</v>
      </c>
      <c r="G48" s="136" t="s">
        <v>3</v>
      </c>
      <c r="H48" s="137" t="s">
        <v>4</v>
      </c>
      <c r="I48" s="153"/>
      <c r="J48" s="135" t="s">
        <v>2</v>
      </c>
      <c r="K48" s="136" t="s">
        <v>3</v>
      </c>
      <c r="L48" s="137" t="s">
        <v>4</v>
      </c>
      <c r="M48" s="153"/>
      <c r="N48" s="45"/>
      <c r="O48" s="69"/>
      <c r="P48" s="75"/>
      <c r="Q48" s="97"/>
      <c r="R48" s="238" t="s">
        <v>174</v>
      </c>
      <c r="S48" s="238">
        <f t="shared" si="90"/>
        <v>0</v>
      </c>
      <c r="T48" s="238">
        <f t="shared" si="10"/>
      </c>
      <c r="U48" s="238">
        <f t="shared" si="8"/>
        <v>0</v>
      </c>
      <c r="V48" s="238">
        <f t="shared" si="9"/>
      </c>
      <c r="W48" s="51" t="s">
        <v>225</v>
      </c>
      <c r="X48" s="13">
        <v>3</v>
      </c>
      <c r="Y48" s="18" t="s">
        <v>232</v>
      </c>
      <c r="Z48" s="16" t="s">
        <v>302</v>
      </c>
      <c r="AD48" s="1">
        <v>48</v>
      </c>
      <c r="AE48" s="320">
        <f t="shared" si="63"/>
        <v>2000000</v>
      </c>
      <c r="AG48" s="38" t="str">
        <f t="shared" si="64"/>
        <v>MAE 488</v>
      </c>
      <c r="AH48" s="333">
        <f t="shared" si="65"/>
        <v>3</v>
      </c>
      <c r="AI48" s="39">
        <f t="shared" si="66"/>
        <v>0</v>
      </c>
      <c r="AJ48" s="294">
        <f>IF(AN48="y",AG48,IF(AE48=10101,AG48,IF(AE48&gt;999999,"",IF(AE48&lt;=AE33,"PREREQ ERROR_EE 213",IF(AE48&lt;=AE31,"PREREQ ERROR_MAE/CE 271",IF(AM48,"PREREQ ERROR_MAE 284 or 385",AG48))))))</f>
      </c>
      <c r="AK48" s="158" t="b">
        <f t="shared" si="67"/>
        <v>0</v>
      </c>
      <c r="AL48" s="320">
        <f t="shared" si="68"/>
        <v>2000000</v>
      </c>
      <c r="AM48" s="139" t="b">
        <f>NOT(OR(AND(AE48&gt;AE38,AE38&lt;999999),AND(AE48&gt;AE30,AE30&lt;999999)))</f>
        <v>1</v>
      </c>
      <c r="AN48" s="77"/>
      <c r="BA48" s="336">
        <f aca="true" ca="1" t="shared" si="91" ref="BA48:BO64">IF($AE48=BA$1,CELL("row",$AE48),"")</f>
      </c>
      <c r="BB48" s="336">
        <f ca="1" t="shared" si="91"/>
      </c>
      <c r="BC48" s="336">
        <f ca="1" t="shared" si="91"/>
      </c>
      <c r="BD48" s="336">
        <f ca="1" t="shared" si="91"/>
      </c>
      <c r="BE48" s="336">
        <f ca="1" t="shared" si="91"/>
      </c>
      <c r="BF48" s="336">
        <f ca="1" t="shared" si="91"/>
      </c>
      <c r="BG48" s="336">
        <f ca="1" t="shared" si="91"/>
      </c>
      <c r="BH48" s="336">
        <f ca="1" t="shared" si="91"/>
      </c>
      <c r="BI48" s="336">
        <f ca="1" t="shared" si="91"/>
      </c>
      <c r="BJ48" s="336">
        <f ca="1" t="shared" si="91"/>
      </c>
      <c r="BK48" s="336">
        <f ca="1" t="shared" si="91"/>
      </c>
      <c r="BL48" s="336">
        <f ca="1" t="shared" si="91"/>
      </c>
      <c r="BM48" s="336">
        <f ca="1" t="shared" si="91"/>
      </c>
      <c r="BN48" s="336">
        <f ca="1" t="shared" si="91"/>
      </c>
      <c r="BO48" s="336">
        <f ca="1" t="shared" si="91"/>
      </c>
      <c r="BQ48" s="185">
        <f>E47</f>
        <v>201609</v>
      </c>
      <c r="BR48" s="186"/>
      <c r="BS48" s="187"/>
      <c r="BT48" s="153"/>
      <c r="BU48" s="185">
        <f>I47</f>
        <v>201701</v>
      </c>
      <c r="BV48" s="186"/>
      <c r="BW48" s="187"/>
      <c r="BX48" s="153"/>
      <c r="BY48" s="185">
        <f>M47</f>
        <v>201705</v>
      </c>
      <c r="BZ48" s="186"/>
      <c r="CA48" s="187"/>
      <c r="CB48" s="153"/>
    </row>
    <row r="49" spans="2:80" ht="13.5" customHeight="1">
      <c r="B49" s="130">
        <f aca="true" t="shared" si="92" ref="B49:B55">IF(BR50=BS50,BR50,"Error "&amp;BQ50)</f>
      </c>
      <c r="C49" s="39">
        <f aca="true" t="shared" si="93" ref="C49:C55">IF(BQ50&gt;0,INDEX(MECourses,BQ50,2),"")</f>
      </c>
      <c r="D49" s="43">
        <f aca="true" t="shared" si="94" ref="D49:D55">IF(BQ50&gt;0,INDEX(MECourses,BQ50,3),"")</f>
      </c>
      <c r="E49" s="153">
        <f>IF(LEFT(D49,1)="a",4*C49,IF(LEFT(D49,1)="b",3*C49,IF(LEFT(D49,1)="c",2*C49,IF(LEFT(D49,1)="d",C49,IF(LEFT(D49,1)="f",0,"")))))</f>
      </c>
      <c r="F49" s="130">
        <f aca="true" t="shared" si="95" ref="F49:F55">IF(BV50=BW50,BV50,"Error "&amp;BU50)</f>
      </c>
      <c r="G49" s="39">
        <f aca="true" t="shared" si="96" ref="G49:G55">IF(BU50&gt;0,INDEX(MECourses,BU50,2),"")</f>
      </c>
      <c r="H49" s="43">
        <f aca="true" t="shared" si="97" ref="H49:H55">IF(BU50&gt;0,INDEX(MECourses,BU50,3),"")</f>
      </c>
      <c r="I49" s="153">
        <f>IF(LEFT(H49,1)="a",4*G49,IF(LEFT(H49,1)="b",3*G49,IF(LEFT(H49,1)="c",2*G49,IF(LEFT(H49,1)="d",G49,IF(LEFT(H49,1)="f",0,"")))))</f>
      </c>
      <c r="J49" s="130">
        <f aca="true" t="shared" si="98" ref="J49:J55">IF(BZ50=CA50,BZ50,"Error "&amp;BY50)</f>
      </c>
      <c r="K49" s="39">
        <f aca="true" t="shared" si="99" ref="K49:K55">IF(BY50&gt;0,INDEX(MECourses,BY50,2),"")</f>
      </c>
      <c r="L49" s="43">
        <f aca="true" t="shared" si="100" ref="L49:L55">IF(BY50&gt;0,INDEX(MECourses,BY50,3),"")</f>
      </c>
      <c r="M49" s="318">
        <f>IF(LEFT(L49,1)="a",4*K49,IF(LEFT(L49,1)="b",3*K49,IF(LEFT(L49,1)="c",2*K49,IF(LEFT(L49,1)="d",K49,IF(LEFT(L49,1)="f",0,"")))))</f>
      </c>
      <c r="N49" s="45"/>
      <c r="O49" s="69"/>
      <c r="P49" s="75"/>
      <c r="Q49" s="97"/>
      <c r="R49" s="238" t="s">
        <v>174</v>
      </c>
      <c r="S49" s="238">
        <f t="shared" si="90"/>
        <v>0</v>
      </c>
      <c r="T49" s="238">
        <f t="shared" si="10"/>
      </c>
      <c r="U49" s="238">
        <f t="shared" si="8"/>
        <v>0</v>
      </c>
      <c r="V49" s="238">
        <f t="shared" si="9"/>
      </c>
      <c r="W49" s="51" t="s">
        <v>29</v>
      </c>
      <c r="X49" s="13">
        <v>3</v>
      </c>
      <c r="Y49" s="18" t="s">
        <v>30</v>
      </c>
      <c r="Z49" s="16" t="s">
        <v>303</v>
      </c>
      <c r="AD49" s="1">
        <v>49</v>
      </c>
      <c r="AE49" s="320">
        <f t="shared" si="63"/>
        <v>2000000</v>
      </c>
      <c r="AG49" s="38" t="str">
        <f t="shared" si="64"/>
        <v>MAE 489</v>
      </c>
      <c r="AH49" s="333">
        <f t="shared" si="65"/>
        <v>3</v>
      </c>
      <c r="AI49" s="39">
        <f t="shared" si="66"/>
        <v>0</v>
      </c>
      <c r="AJ49" s="294">
        <f>IF(AN49="y",AG49,IF(AE49=10101,AG49,IF(AE49&gt;999999,"",IF(AE49&lt;=AE43,"PREREQ ERROR_MAE/CE 370",IF(NOT(OR(AND(AE49&gt;=AE38,AE38&lt;999999),AND(AE49&gt;=AE30,AE30&lt;999999))),"PREREQ w/Con ERROR_MAE 284 or 385",AG49)))))</f>
      </c>
      <c r="AK49" s="158" t="b">
        <f t="shared" si="67"/>
        <v>0</v>
      </c>
      <c r="AL49" s="320">
        <f t="shared" si="68"/>
        <v>2000000</v>
      </c>
      <c r="AM49" s="139"/>
      <c r="AN49" s="77"/>
      <c r="BA49" s="336">
        <f ca="1" t="shared" si="91"/>
      </c>
      <c r="BB49" s="336">
        <f ca="1" t="shared" si="91"/>
      </c>
      <c r="BC49" s="336">
        <f ca="1" t="shared" si="91"/>
      </c>
      <c r="BD49" s="336">
        <f ca="1" t="shared" si="91"/>
      </c>
      <c r="BE49" s="336">
        <f ca="1" t="shared" si="91"/>
      </c>
      <c r="BF49" s="336">
        <f ca="1" t="shared" si="91"/>
      </c>
      <c r="BG49" s="336">
        <f ca="1" t="shared" si="91"/>
      </c>
      <c r="BH49" s="336">
        <f ca="1" t="shared" si="91"/>
      </c>
      <c r="BI49" s="336">
        <f ca="1" t="shared" si="91"/>
      </c>
      <c r="BJ49" s="336">
        <f ca="1" t="shared" si="91"/>
      </c>
      <c r="BK49" s="336">
        <f ca="1" t="shared" si="91"/>
      </c>
      <c r="BL49" s="336">
        <f ca="1" t="shared" si="91"/>
      </c>
      <c r="BM49" s="336">
        <f ca="1" t="shared" si="91"/>
      </c>
      <c r="BN49" s="336">
        <f ca="1" t="shared" si="91"/>
      </c>
      <c r="BO49" s="336">
        <f ca="1" t="shared" si="91"/>
      </c>
      <c r="BQ49" s="340" t="s">
        <v>153</v>
      </c>
      <c r="BR49" s="340" t="s">
        <v>155</v>
      </c>
      <c r="BS49" s="340" t="s">
        <v>156</v>
      </c>
      <c r="BT49" s="153"/>
      <c r="BU49" s="340" t="s">
        <v>153</v>
      </c>
      <c r="BV49" s="340" t="s">
        <v>155</v>
      </c>
      <c r="BW49" s="340" t="s">
        <v>156</v>
      </c>
      <c r="BX49" s="153"/>
      <c r="BY49" s="340" t="s">
        <v>153</v>
      </c>
      <c r="BZ49" s="340" t="s">
        <v>155</v>
      </c>
      <c r="CA49" s="340" t="s">
        <v>156</v>
      </c>
      <c r="CB49" s="153"/>
    </row>
    <row r="50" spans="2:80" ht="13.5" customHeight="1">
      <c r="B50" s="130">
        <f t="shared" si="92"/>
      </c>
      <c r="C50" s="39">
        <f t="shared" si="93"/>
      </c>
      <c r="D50" s="43">
        <f t="shared" si="94"/>
      </c>
      <c r="E50" s="318">
        <f aca="true" t="shared" si="101" ref="E50:E55">IF(LEFT(D50,1)="a",4*C50,IF(LEFT(D50,1)="b",3*C50,IF(LEFT(D50,1)="c",2*C50,IF(LEFT(D50,1)="d",C50,IF(LEFT(D50,1)="f",0,"")))))</f>
      </c>
      <c r="F50" s="130">
        <f t="shared" si="95"/>
      </c>
      <c r="G50" s="39">
        <f t="shared" si="96"/>
      </c>
      <c r="H50" s="43">
        <f t="shared" si="97"/>
      </c>
      <c r="I50" s="153">
        <f aca="true" t="shared" si="102" ref="I50:I55">IF(LEFT(H50,1)="a",4*G50,IF(LEFT(H50,1)="b",3*G50,IF(LEFT(H50,1)="c",2*G50,IF(LEFT(H50,1)="d",G50,IF(LEFT(H50,1)="f",0,"")))))</f>
      </c>
      <c r="J50" s="130">
        <f t="shared" si="98"/>
      </c>
      <c r="K50" s="39">
        <f t="shared" si="99"/>
      </c>
      <c r="L50" s="43">
        <f t="shared" si="100"/>
      </c>
      <c r="M50" s="153">
        <f aca="true" t="shared" si="103" ref="M50:M55">IF(LEFT(L50,1)="a",4*K50,IF(LEFT(L50,1)="b",3*K50,IF(LEFT(L50,1)="c",2*K50,IF(LEFT(L50,1)="d",K50,IF(LEFT(L50,1)="f",0,"")))))</f>
      </c>
      <c r="N50" s="45"/>
      <c r="O50" s="69"/>
      <c r="P50" s="75"/>
      <c r="Q50" s="97"/>
      <c r="R50" s="238" t="s">
        <v>174</v>
      </c>
      <c r="S50" s="238">
        <f t="shared" si="90"/>
        <v>0</v>
      </c>
      <c r="T50" s="238">
        <f t="shared" si="10"/>
      </c>
      <c r="U50" s="238">
        <f t="shared" si="8"/>
        <v>0</v>
      </c>
      <c r="V50" s="238">
        <f t="shared" si="9"/>
      </c>
      <c r="W50" s="51" t="s">
        <v>31</v>
      </c>
      <c r="X50" s="13">
        <v>3</v>
      </c>
      <c r="Y50" s="18" t="s">
        <v>233</v>
      </c>
      <c r="Z50" s="16" t="s">
        <v>281</v>
      </c>
      <c r="AD50" s="1">
        <v>50</v>
      </c>
      <c r="AE50" s="320">
        <f t="shared" si="63"/>
        <v>2000000</v>
      </c>
      <c r="AG50" s="38" t="str">
        <f t="shared" si="64"/>
        <v>MAE 490</v>
      </c>
      <c r="AH50" s="333">
        <f t="shared" si="65"/>
        <v>3</v>
      </c>
      <c r="AI50" s="39">
        <f t="shared" si="66"/>
        <v>0</v>
      </c>
      <c r="AJ50" s="294">
        <f>IF(AN50="y",AG50,IF(AE50=10101,AG50,IF(AE50&gt;999999,"",IF(AE50&lt;=AE37,"PREREQ ERROR_MAE 272",IF(AE50&lt;=AE40,"PREREQ ERROR_MAE 311",IF(AE50&lt;=AE34,"PREREQ ERROR_ISE 321",AG50))))))</f>
      </c>
      <c r="AK50" s="158" t="b">
        <f t="shared" si="67"/>
        <v>0</v>
      </c>
      <c r="AL50" s="320">
        <f t="shared" si="68"/>
        <v>2000000</v>
      </c>
      <c r="AM50" s="139"/>
      <c r="AN50" s="77"/>
      <c r="BA50" s="336">
        <f ca="1" t="shared" si="91"/>
      </c>
      <c r="BB50" s="336">
        <f ca="1" t="shared" si="91"/>
      </c>
      <c r="BC50" s="336">
        <f ca="1" t="shared" si="91"/>
      </c>
      <c r="BD50" s="336">
        <f ca="1" t="shared" si="91"/>
      </c>
      <c r="BE50" s="336">
        <f ca="1" t="shared" si="91"/>
      </c>
      <c r="BF50" s="336">
        <f ca="1" t="shared" si="91"/>
      </c>
      <c r="BG50" s="336">
        <f ca="1" t="shared" si="91"/>
      </c>
      <c r="BH50" s="336">
        <f ca="1" t="shared" si="91"/>
      </c>
      <c r="BI50" s="336">
        <f ca="1" t="shared" si="91"/>
      </c>
      <c r="BJ50" s="336">
        <f ca="1" t="shared" si="91"/>
      </c>
      <c r="BK50" s="336">
        <f ca="1" t="shared" si="91"/>
      </c>
      <c r="BL50" s="336">
        <f ca="1" t="shared" si="91"/>
      </c>
      <c r="BM50" s="336">
        <f ca="1" t="shared" si="91"/>
      </c>
      <c r="BN50" s="336">
        <f ca="1" t="shared" si="91"/>
      </c>
      <c r="BO50" s="336">
        <f ca="1" t="shared" si="91"/>
      </c>
      <c r="BQ50" s="176">
        <f aca="true" t="shared" si="104" ref="BQ50:BQ57">BJ82</f>
        <v>0</v>
      </c>
      <c r="BR50" s="320">
        <f aca="true" t="shared" si="105" ref="BR50:BR57">IF(BQ50&gt;0,INDEX(MECourses,BQ50,1),"")</f>
      </c>
      <c r="BS50" s="320">
        <f aca="true" t="shared" si="106" ref="BS50:BS57">IF(BQ50&gt;0,INDEX(MECourses,BQ50,4),"")</f>
      </c>
      <c r="BT50" s="153"/>
      <c r="BU50" s="176">
        <f aca="true" t="shared" si="107" ref="BU50:BU57">BK82</f>
        <v>0</v>
      </c>
      <c r="BV50" s="320">
        <f aca="true" t="shared" si="108" ref="BV50:BV57">IF(BU50&gt;0,INDEX(MECourses,BU50,1),"")</f>
      </c>
      <c r="BW50" s="320">
        <f aca="true" t="shared" si="109" ref="BW50:BW57">IF(BU50&gt;0,INDEX(MECourses,BU50,4),"")</f>
      </c>
      <c r="BX50" s="153"/>
      <c r="BY50" s="176">
        <f aca="true" t="shared" si="110" ref="BY50:BY57">BL82</f>
        <v>0</v>
      </c>
      <c r="BZ50" s="320">
        <f aca="true" t="shared" si="111" ref="BZ50:BZ57">IF(BY50&gt;0,INDEX(MECourses,BY50,1),"")</f>
      </c>
      <c r="CA50" s="320">
        <f aca="true" t="shared" si="112" ref="CA50:CA57">IF(BY50&gt;0,INDEX(MECourses,BY50,4),"")</f>
      </c>
      <c r="CB50" s="153"/>
    </row>
    <row r="51" spans="2:80" ht="13.5" customHeight="1">
      <c r="B51" s="130">
        <f t="shared" si="92"/>
      </c>
      <c r="C51" s="39">
        <f t="shared" si="93"/>
      </c>
      <c r="D51" s="43">
        <f t="shared" si="94"/>
      </c>
      <c r="E51" s="318">
        <f t="shared" si="101"/>
      </c>
      <c r="F51" s="130">
        <f t="shared" si="95"/>
      </c>
      <c r="G51" s="39">
        <f t="shared" si="96"/>
      </c>
      <c r="H51" s="43">
        <f t="shared" si="97"/>
      </c>
      <c r="I51" s="153">
        <f t="shared" si="102"/>
      </c>
      <c r="J51" s="130">
        <f t="shared" si="98"/>
      </c>
      <c r="K51" s="39">
        <f t="shared" si="99"/>
      </c>
      <c r="L51" s="43">
        <f t="shared" si="100"/>
      </c>
      <c r="M51" s="318">
        <f t="shared" si="103"/>
      </c>
      <c r="N51" s="45"/>
      <c r="O51" s="69"/>
      <c r="P51" s="75"/>
      <c r="Q51" s="97"/>
      <c r="R51" s="238" t="s">
        <v>174</v>
      </c>
      <c r="S51" s="238">
        <f t="shared" si="90"/>
        <v>0</v>
      </c>
      <c r="T51" s="238">
        <f t="shared" si="10"/>
      </c>
      <c r="U51" s="238">
        <f t="shared" si="8"/>
        <v>0</v>
      </c>
      <c r="V51" s="238">
        <f t="shared" si="9"/>
      </c>
      <c r="W51" s="51" t="s">
        <v>32</v>
      </c>
      <c r="X51" s="13">
        <v>3</v>
      </c>
      <c r="Y51" s="18" t="s">
        <v>33</v>
      </c>
      <c r="Z51" s="16" t="s">
        <v>304</v>
      </c>
      <c r="AD51" s="1">
        <v>51</v>
      </c>
      <c r="AE51" s="320">
        <f t="shared" si="63"/>
        <v>2000000</v>
      </c>
      <c r="AG51" s="38" t="str">
        <f t="shared" si="64"/>
        <v>MAE 491</v>
      </c>
      <c r="AH51" s="333">
        <f t="shared" si="65"/>
        <v>3</v>
      </c>
      <c r="AI51" s="39">
        <f t="shared" si="66"/>
        <v>0</v>
      </c>
      <c r="AJ51" s="294">
        <f>IF(AN51="y",AG51,IF(AE51=10101,AG51,IF(AE51&gt;999999,"",IF(AE51&lt;=AE50,"PRE-REQ ERROR_MAE 490",IF(SUMIF(AE2:AE80,"&lt;"&amp;AE51,AH2:AH80)&lt;96,"ERROR_Senior Standing",IF(OR(AE52&lt;999999,AE53&lt;999999,AE54&lt;999999),"ERROR PICK ONLY ONE SR. DESIGN",AG51))))))</f>
      </c>
      <c r="AK51" s="158" t="b">
        <f t="shared" si="67"/>
        <v>0</v>
      </c>
      <c r="AL51" s="320">
        <f t="shared" si="68"/>
        <v>2000000</v>
      </c>
      <c r="AM51" s="139" t="b">
        <f>OR(AE51&lt;999999,AE52&lt;999999,AE53&lt;999999,AE54&lt;999999)</f>
        <v>0</v>
      </c>
      <c r="AN51" s="77"/>
      <c r="AO51" s="37" t="b">
        <f>AND(AE51&gt;999999,AM$51)</f>
        <v>0</v>
      </c>
      <c r="BA51" s="336">
        <f ca="1" t="shared" si="91"/>
      </c>
      <c r="BB51" s="336">
        <f ca="1" t="shared" si="91"/>
      </c>
      <c r="BC51" s="336">
        <f ca="1" t="shared" si="91"/>
      </c>
      <c r="BD51" s="336">
        <f ca="1" t="shared" si="91"/>
      </c>
      <c r="BE51" s="336">
        <f ca="1" t="shared" si="91"/>
      </c>
      <c r="BF51" s="336">
        <f ca="1" t="shared" si="91"/>
      </c>
      <c r="BG51" s="336">
        <f ca="1" t="shared" si="91"/>
      </c>
      <c r="BH51" s="336">
        <f ca="1" t="shared" si="91"/>
      </c>
      <c r="BI51" s="336">
        <f ca="1" t="shared" si="91"/>
      </c>
      <c r="BJ51" s="336">
        <f ca="1" t="shared" si="91"/>
      </c>
      <c r="BK51" s="336">
        <f ca="1" t="shared" si="91"/>
      </c>
      <c r="BL51" s="336">
        <f ca="1" t="shared" si="91"/>
      </c>
      <c r="BM51" s="336">
        <f ca="1" t="shared" si="91"/>
      </c>
      <c r="BN51" s="336">
        <f ca="1" t="shared" si="91"/>
      </c>
      <c r="BO51" s="336">
        <f ca="1" t="shared" si="91"/>
      </c>
      <c r="BQ51" s="178">
        <f t="shared" si="104"/>
        <v>0</v>
      </c>
      <c r="BR51" s="320">
        <f t="shared" si="105"/>
      </c>
      <c r="BS51" s="320">
        <f t="shared" si="106"/>
      </c>
      <c r="BT51" s="153"/>
      <c r="BU51" s="178">
        <f t="shared" si="107"/>
        <v>0</v>
      </c>
      <c r="BV51" s="320">
        <f t="shared" si="108"/>
      </c>
      <c r="BW51" s="320">
        <f t="shared" si="109"/>
      </c>
      <c r="BX51" s="153"/>
      <c r="BY51" s="178">
        <f t="shared" si="110"/>
        <v>0</v>
      </c>
      <c r="BZ51" s="320">
        <f t="shared" si="111"/>
      </c>
      <c r="CA51" s="320">
        <f t="shared" si="112"/>
      </c>
      <c r="CB51" s="153"/>
    </row>
    <row r="52" spans="2:80" ht="13.5" customHeight="1">
      <c r="B52" s="130">
        <f t="shared" si="92"/>
      </c>
      <c r="C52" s="39">
        <f t="shared" si="93"/>
      </c>
      <c r="D52" s="43">
        <f t="shared" si="94"/>
      </c>
      <c r="E52" s="318">
        <f t="shared" si="101"/>
      </c>
      <c r="F52" s="130">
        <f t="shared" si="95"/>
      </c>
      <c r="G52" s="39">
        <f t="shared" si="96"/>
      </c>
      <c r="H52" s="43">
        <f t="shared" si="97"/>
      </c>
      <c r="I52" s="153">
        <f t="shared" si="102"/>
      </c>
      <c r="J52" s="130">
        <f t="shared" si="98"/>
      </c>
      <c r="K52" s="39">
        <f t="shared" si="99"/>
      </c>
      <c r="L52" s="43">
        <f t="shared" si="100"/>
      </c>
      <c r="M52" s="318">
        <f t="shared" si="103"/>
      </c>
      <c r="N52" s="45"/>
      <c r="O52" s="69"/>
      <c r="P52" s="75"/>
      <c r="Q52" s="97"/>
      <c r="R52" s="238" t="s">
        <v>174</v>
      </c>
      <c r="S52" s="238">
        <f t="shared" si="90"/>
        <v>0</v>
      </c>
      <c r="T52" s="238">
        <f t="shared" si="10"/>
      </c>
      <c r="U52" s="238">
        <f t="shared" si="8"/>
        <v>0</v>
      </c>
      <c r="V52" s="238">
        <f t="shared" si="9"/>
      </c>
      <c r="W52" s="51" t="s">
        <v>34</v>
      </c>
      <c r="X52" s="13">
        <v>4</v>
      </c>
      <c r="Y52" s="18" t="s">
        <v>35</v>
      </c>
      <c r="Z52" s="16" t="s">
        <v>305</v>
      </c>
      <c r="AD52" s="1">
        <v>52</v>
      </c>
      <c r="AE52" s="320">
        <f t="shared" si="63"/>
        <v>2000000</v>
      </c>
      <c r="AG52" s="38" t="str">
        <f t="shared" si="64"/>
        <v>MAE 492</v>
      </c>
      <c r="AH52" s="333">
        <f t="shared" si="65"/>
        <v>3</v>
      </c>
      <c r="AI52" s="39">
        <f t="shared" si="66"/>
        <v>0</v>
      </c>
      <c r="AJ52" s="294">
        <f>IF(AN52="y",AG52,IF(AE52=10101,AG52,IF(AE52&gt;999999,"",IF(AE52&lt;=AE50,"PRE-REQ ERROR_MAE 490",IF(SUMIF(AE2:AE80,"&lt;"&amp;AE52,AH2:AH80)&lt;96,"ERROR_Senior Standing",IF(OR(AE51&lt;999999,AE53&lt;999999,AE54&lt;999999),"ERROR PICK ONLY ONE SR. DESIGN",AG52))))))</f>
      </c>
      <c r="AK52" s="158" t="b">
        <f t="shared" si="67"/>
        <v>0</v>
      </c>
      <c r="AL52" s="320">
        <f t="shared" si="68"/>
        <v>2000000</v>
      </c>
      <c r="AM52" s="139"/>
      <c r="AN52" s="77"/>
      <c r="AO52" s="37" t="b">
        <f>AND(AE52&gt;999999,AM$51)</f>
        <v>0</v>
      </c>
      <c r="BA52" s="336">
        <f ca="1" t="shared" si="91"/>
      </c>
      <c r="BB52" s="336">
        <f ca="1" t="shared" si="91"/>
      </c>
      <c r="BC52" s="336">
        <f ca="1" t="shared" si="91"/>
      </c>
      <c r="BD52" s="336">
        <f ca="1" t="shared" si="91"/>
      </c>
      <c r="BE52" s="336">
        <f ca="1" t="shared" si="91"/>
      </c>
      <c r="BF52" s="336">
        <f ca="1" t="shared" si="91"/>
      </c>
      <c r="BG52" s="336">
        <f ca="1" t="shared" si="91"/>
      </c>
      <c r="BH52" s="336">
        <f ca="1" t="shared" si="91"/>
      </c>
      <c r="BI52" s="336">
        <f ca="1" t="shared" si="91"/>
      </c>
      <c r="BJ52" s="336">
        <f ca="1" t="shared" si="91"/>
      </c>
      <c r="BK52" s="336">
        <f ca="1" t="shared" si="91"/>
      </c>
      <c r="BL52" s="336">
        <f ca="1" t="shared" si="91"/>
      </c>
      <c r="BM52" s="336">
        <f ca="1" t="shared" si="91"/>
      </c>
      <c r="BN52" s="336">
        <f ca="1" t="shared" si="91"/>
      </c>
      <c r="BO52" s="336">
        <f ca="1" t="shared" si="91"/>
      </c>
      <c r="BQ52" s="178">
        <f t="shared" si="104"/>
        <v>0</v>
      </c>
      <c r="BR52" s="320">
        <f t="shared" si="105"/>
      </c>
      <c r="BS52" s="320">
        <f t="shared" si="106"/>
      </c>
      <c r="BT52" s="153"/>
      <c r="BU52" s="178">
        <f t="shared" si="107"/>
        <v>0</v>
      </c>
      <c r="BV52" s="320">
        <f t="shared" si="108"/>
      </c>
      <c r="BW52" s="320">
        <f t="shared" si="109"/>
      </c>
      <c r="BX52" s="153"/>
      <c r="BY52" s="178">
        <f t="shared" si="110"/>
        <v>0</v>
      </c>
      <c r="BZ52" s="320">
        <f t="shared" si="111"/>
      </c>
      <c r="CA52" s="320">
        <f t="shared" si="112"/>
      </c>
      <c r="CB52" s="153"/>
    </row>
    <row r="53" spans="2:80" ht="13.5" customHeight="1">
      <c r="B53" s="130">
        <f t="shared" si="92"/>
      </c>
      <c r="C53" s="39">
        <f t="shared" si="93"/>
      </c>
      <c r="D53" s="43">
        <f t="shared" si="94"/>
      </c>
      <c r="E53" s="318">
        <f t="shared" si="101"/>
      </c>
      <c r="F53" s="130">
        <f t="shared" si="95"/>
      </c>
      <c r="G53" s="39">
        <f t="shared" si="96"/>
      </c>
      <c r="H53" s="43">
        <f t="shared" si="97"/>
      </c>
      <c r="I53" s="153">
        <f t="shared" si="102"/>
      </c>
      <c r="J53" s="130">
        <f t="shared" si="98"/>
      </c>
      <c r="K53" s="39">
        <f t="shared" si="99"/>
      </c>
      <c r="L53" s="43">
        <f t="shared" si="100"/>
      </c>
      <c r="M53" s="318">
        <f t="shared" si="103"/>
      </c>
      <c r="N53" s="45"/>
      <c r="O53" s="69"/>
      <c r="P53" s="75"/>
      <c r="Q53" s="97"/>
      <c r="R53" s="238" t="s">
        <v>174</v>
      </c>
      <c r="S53" s="238">
        <f t="shared" si="90"/>
        <v>0</v>
      </c>
      <c r="T53" s="238">
        <f t="shared" si="10"/>
      </c>
      <c r="U53" s="238">
        <f t="shared" si="8"/>
        <v>0</v>
      </c>
      <c r="V53" s="238">
        <f t="shared" si="9"/>
      </c>
      <c r="W53" s="92" t="s">
        <v>36</v>
      </c>
      <c r="X53" s="13">
        <v>4</v>
      </c>
      <c r="Y53" s="18" t="s">
        <v>37</v>
      </c>
      <c r="Z53" s="16" t="s">
        <v>294</v>
      </c>
      <c r="AD53" s="1">
        <v>53</v>
      </c>
      <c r="AE53" s="320">
        <f t="shared" si="63"/>
        <v>2000000</v>
      </c>
      <c r="AG53" s="38" t="str">
        <f t="shared" si="64"/>
        <v>MAE 493</v>
      </c>
      <c r="AH53" s="333">
        <f t="shared" si="65"/>
        <v>3</v>
      </c>
      <c r="AI53" s="39">
        <f t="shared" si="66"/>
        <v>0</v>
      </c>
      <c r="AJ53" s="294">
        <f>IF(AN53="y",AG53,IF(AE53=10101,AG53,IF(AE53&gt;999999,"",IF(AE53&lt;=AE50,"PRE-REQ ERROR_MAE 490",IF(SUMIF(AE2:AE80,"&lt;"&amp;AE53,AH2:AH80)&lt;96,"ERROR_Senior Standing",IF(OR(AE51&lt;999999,AE52&lt;999999,AE54&lt;999999),"ERROR PICK ONLY ONE SR. DESIGN",AG53))))))</f>
      </c>
      <c r="AK53" s="158" t="b">
        <f t="shared" si="67"/>
        <v>0</v>
      </c>
      <c r="AL53" s="320">
        <f t="shared" si="68"/>
        <v>2000000</v>
      </c>
      <c r="AM53" s="139"/>
      <c r="AN53" s="77"/>
      <c r="AO53" s="37" t="b">
        <f>AND(AE53&gt;999999,AM$51)</f>
        <v>0</v>
      </c>
      <c r="BA53" s="336">
        <f ca="1" t="shared" si="91"/>
      </c>
      <c r="BB53" s="336">
        <f ca="1" t="shared" si="91"/>
      </c>
      <c r="BC53" s="336">
        <f ca="1" t="shared" si="91"/>
      </c>
      <c r="BD53" s="336">
        <f ca="1" t="shared" si="91"/>
      </c>
      <c r="BE53" s="336">
        <f ca="1" t="shared" si="91"/>
      </c>
      <c r="BF53" s="336">
        <f ca="1" t="shared" si="91"/>
      </c>
      <c r="BG53" s="336">
        <f ca="1" t="shared" si="91"/>
      </c>
      <c r="BH53" s="336">
        <f ca="1" t="shared" si="91"/>
      </c>
      <c r="BI53" s="336">
        <f ca="1" t="shared" si="91"/>
      </c>
      <c r="BJ53" s="336">
        <f ca="1" t="shared" si="91"/>
      </c>
      <c r="BK53" s="336">
        <f ca="1" t="shared" si="91"/>
      </c>
      <c r="BL53" s="336">
        <f ca="1" t="shared" si="91"/>
      </c>
      <c r="BM53" s="336">
        <f ca="1" t="shared" si="91"/>
      </c>
      <c r="BN53" s="336">
        <f ca="1" t="shared" si="91"/>
      </c>
      <c r="BO53" s="336">
        <f ca="1" t="shared" si="91"/>
      </c>
      <c r="BQ53" s="178">
        <f t="shared" si="104"/>
        <v>0</v>
      </c>
      <c r="BR53" s="320">
        <f t="shared" si="105"/>
      </c>
      <c r="BS53" s="320">
        <f t="shared" si="106"/>
      </c>
      <c r="BT53" s="153"/>
      <c r="BU53" s="178">
        <f t="shared" si="107"/>
        <v>0</v>
      </c>
      <c r="BV53" s="320">
        <f t="shared" si="108"/>
      </c>
      <c r="BW53" s="320">
        <f t="shared" si="109"/>
      </c>
      <c r="BX53" s="153"/>
      <c r="BY53" s="178">
        <f t="shared" si="110"/>
        <v>0</v>
      </c>
      <c r="BZ53" s="320">
        <f t="shared" si="111"/>
      </c>
      <c r="CA53" s="320">
        <f t="shared" si="112"/>
      </c>
      <c r="CB53" s="153"/>
    </row>
    <row r="54" spans="2:80" ht="13.5" customHeight="1" thickBot="1">
      <c r="B54" s="130">
        <f t="shared" si="92"/>
      </c>
      <c r="C54" s="39">
        <f t="shared" si="93"/>
      </c>
      <c r="D54" s="43">
        <f t="shared" si="94"/>
      </c>
      <c r="E54" s="318">
        <f t="shared" si="101"/>
      </c>
      <c r="F54" s="130">
        <f t="shared" si="95"/>
      </c>
      <c r="G54" s="39">
        <f t="shared" si="96"/>
      </c>
      <c r="H54" s="43">
        <f t="shared" si="97"/>
      </c>
      <c r="I54" s="153">
        <f t="shared" si="102"/>
      </c>
      <c r="J54" s="130">
        <f t="shared" si="98"/>
      </c>
      <c r="K54" s="39">
        <f t="shared" si="99"/>
      </c>
      <c r="L54" s="43">
        <f t="shared" si="100"/>
      </c>
      <c r="M54" s="153">
        <f t="shared" si="103"/>
      </c>
      <c r="N54" s="45"/>
      <c r="O54" s="69"/>
      <c r="P54" s="75"/>
      <c r="Q54" s="97"/>
      <c r="R54" s="238" t="s">
        <v>174</v>
      </c>
      <c r="S54" s="238">
        <f t="shared" si="90"/>
        <v>0</v>
      </c>
      <c r="T54" s="238">
        <f t="shared" si="10"/>
      </c>
      <c r="U54" s="238">
        <f t="shared" si="8"/>
        <v>0</v>
      </c>
      <c r="V54" s="238">
        <f t="shared" si="9"/>
      </c>
      <c r="W54" s="51" t="s">
        <v>38</v>
      </c>
      <c r="X54" s="13">
        <v>3</v>
      </c>
      <c r="Y54" s="18" t="s">
        <v>39</v>
      </c>
      <c r="Z54" s="16" t="s">
        <v>282</v>
      </c>
      <c r="AD54" s="1">
        <v>54</v>
      </c>
      <c r="AE54" s="320">
        <f t="shared" si="63"/>
        <v>2000000</v>
      </c>
      <c r="AF54" s="326"/>
      <c r="AG54" s="38" t="str">
        <f t="shared" si="64"/>
        <v>MAE 494</v>
      </c>
      <c r="AH54" s="333">
        <f t="shared" si="65"/>
        <v>3</v>
      </c>
      <c r="AI54" s="39">
        <f t="shared" si="66"/>
        <v>0</v>
      </c>
      <c r="AJ54" s="294">
        <f>IF(AN54="y",AG54,IF(AE54=10101,AG54,IF(AE54&gt;999999,"",IF(AE54&lt;=AE50,"PRE-REQ ERROR_MAE 490",IF(SUMIF(AE2:AE80,"&lt;"&amp;AE54,AH2:AH80)&lt;96,"ERROR_Senior Standing",IF(OR(AE51&lt;999999,AE52&lt;999999,AE53&lt;999999),"ERROR PICK ONLY ONE SR. DESIGN",AG54))))))</f>
      </c>
      <c r="AK54" s="158" t="b">
        <f t="shared" si="67"/>
        <v>0</v>
      </c>
      <c r="AL54" s="320">
        <f t="shared" si="68"/>
        <v>2000000</v>
      </c>
      <c r="AM54" s="139"/>
      <c r="AN54" s="77"/>
      <c r="AO54" s="37" t="b">
        <f>AND(AE54&gt;999999,AM$51)</f>
        <v>0</v>
      </c>
      <c r="BA54" s="336">
        <f ca="1" t="shared" si="91"/>
      </c>
      <c r="BB54" s="336">
        <f ca="1" t="shared" si="91"/>
      </c>
      <c r="BC54" s="336">
        <f ca="1" t="shared" si="91"/>
      </c>
      <c r="BD54" s="336">
        <f ca="1" t="shared" si="91"/>
      </c>
      <c r="BE54" s="336">
        <f ca="1" t="shared" si="91"/>
      </c>
      <c r="BF54" s="336">
        <f ca="1" t="shared" si="91"/>
      </c>
      <c r="BG54" s="336">
        <f ca="1" t="shared" si="91"/>
      </c>
      <c r="BH54" s="336">
        <f ca="1" t="shared" si="91"/>
      </c>
      <c r="BI54" s="336">
        <f ca="1" t="shared" si="91"/>
      </c>
      <c r="BJ54" s="336">
        <f ca="1" t="shared" si="91"/>
      </c>
      <c r="BK54" s="336">
        <f ca="1" t="shared" si="91"/>
      </c>
      <c r="BL54" s="336">
        <f ca="1" t="shared" si="91"/>
      </c>
      <c r="BM54" s="336">
        <f ca="1" t="shared" si="91"/>
      </c>
      <c r="BN54" s="336">
        <f ca="1" t="shared" si="91"/>
      </c>
      <c r="BO54" s="336">
        <f ca="1" t="shared" si="91"/>
      </c>
      <c r="BQ54" s="178">
        <f t="shared" si="104"/>
        <v>0</v>
      </c>
      <c r="BR54" s="320">
        <f t="shared" si="105"/>
      </c>
      <c r="BS54" s="320">
        <f t="shared" si="106"/>
      </c>
      <c r="BT54" s="153"/>
      <c r="BU54" s="178">
        <f t="shared" si="107"/>
        <v>0</v>
      </c>
      <c r="BV54" s="320">
        <f t="shared" si="108"/>
      </c>
      <c r="BW54" s="320">
        <f t="shared" si="109"/>
      </c>
      <c r="BX54" s="153"/>
      <c r="BY54" s="178">
        <f t="shared" si="110"/>
        <v>0</v>
      </c>
      <c r="BZ54" s="320">
        <f t="shared" si="111"/>
      </c>
      <c r="CA54" s="320">
        <f t="shared" si="112"/>
      </c>
      <c r="CB54" s="153"/>
    </row>
    <row r="55" spans="2:80" ht="13.5" customHeight="1" thickBot="1">
      <c r="B55" s="369">
        <f t="shared" si="92"/>
      </c>
      <c r="C55" s="370">
        <f t="shared" si="93"/>
      </c>
      <c r="D55" s="371">
        <f t="shared" si="94"/>
      </c>
      <c r="E55" s="153">
        <f t="shared" si="101"/>
      </c>
      <c r="F55" s="369">
        <f t="shared" si="95"/>
      </c>
      <c r="G55" s="370">
        <f t="shared" si="96"/>
      </c>
      <c r="H55" s="371">
        <f t="shared" si="97"/>
      </c>
      <c r="I55" s="153">
        <f t="shared" si="102"/>
      </c>
      <c r="J55" s="369">
        <f t="shared" si="98"/>
      </c>
      <c r="K55" s="370">
        <f t="shared" si="99"/>
      </c>
      <c r="L55" s="371">
        <f t="shared" si="100"/>
      </c>
      <c r="M55" s="153">
        <f t="shared" si="103"/>
      </c>
      <c r="N55" s="45"/>
      <c r="O55" s="69"/>
      <c r="P55" s="75"/>
      <c r="Q55" s="97"/>
      <c r="R55" s="238" t="s">
        <v>174</v>
      </c>
      <c r="S55" s="238">
        <f t="shared" si="90"/>
        <v>0</v>
      </c>
      <c r="T55" s="238">
        <f t="shared" si="10"/>
      </c>
      <c r="U55" s="238">
        <f t="shared" si="8"/>
        <v>0</v>
      </c>
      <c r="V55" s="238">
        <f t="shared" si="9"/>
      </c>
      <c r="W55" s="51" t="s">
        <v>42</v>
      </c>
      <c r="X55" s="13">
        <v>4</v>
      </c>
      <c r="Y55" s="18" t="s">
        <v>43</v>
      </c>
      <c r="Z55" s="16" t="s">
        <v>306</v>
      </c>
      <c r="AD55" s="1">
        <v>55</v>
      </c>
      <c r="AE55" s="320">
        <f t="shared" si="63"/>
        <v>2000000</v>
      </c>
      <c r="AG55" s="38" t="str">
        <f>W66</f>
        <v>T.E.</v>
      </c>
      <c r="AH55" s="329">
        <f>X66</f>
        <v>3</v>
      </c>
      <c r="AI55" s="330">
        <f>Q66</f>
        <v>0</v>
      </c>
      <c r="AJ55" s="294">
        <f aca="true" t="shared" si="113" ref="AJ55:AJ80">IF(AE55&gt;999999,"",AG55)</f>
      </c>
      <c r="AK55" s="293" t="b">
        <f>IF(X66=0,FALSE,IF(OR(LEFT(Q66,1)="T",S66/X66&gt;=2),TRUE,FALSE))</f>
        <v>0</v>
      </c>
      <c r="AL55" s="332">
        <f>IF(P66&gt;0,P66*100,1000000)+IF(LEFT(O66,2)="Sp",1,IF(LEFT(O66,2)="Su",5,IF(LEFT(O66,2)="Fa",9,1000000)))</f>
        <v>2000000</v>
      </c>
      <c r="AM55" s="139"/>
      <c r="AN55" s="77"/>
      <c r="BA55" s="336">
        <f ca="1" t="shared" si="91"/>
      </c>
      <c r="BB55" s="336">
        <f ca="1" t="shared" si="91"/>
      </c>
      <c r="BC55" s="336">
        <f ca="1" t="shared" si="91"/>
      </c>
      <c r="BD55" s="336">
        <f ca="1" t="shared" si="91"/>
      </c>
      <c r="BE55" s="336">
        <f ca="1" t="shared" si="91"/>
      </c>
      <c r="BF55" s="336">
        <f ca="1" t="shared" si="91"/>
      </c>
      <c r="BG55" s="336">
        <f ca="1" t="shared" si="91"/>
      </c>
      <c r="BH55" s="336">
        <f ca="1" t="shared" si="91"/>
      </c>
      <c r="BI55" s="336">
        <f ca="1" t="shared" si="91"/>
      </c>
      <c r="BJ55" s="336">
        <f ca="1" t="shared" si="91"/>
      </c>
      <c r="BK55" s="336">
        <f ca="1" t="shared" si="91"/>
      </c>
      <c r="BL55" s="336">
        <f ca="1" t="shared" si="91"/>
      </c>
      <c r="BM55" s="336">
        <f ca="1" t="shared" si="91"/>
      </c>
      <c r="BN55" s="336">
        <f ca="1" t="shared" si="91"/>
      </c>
      <c r="BO55" s="336">
        <f ca="1" t="shared" si="91"/>
      </c>
      <c r="BQ55" s="178">
        <f t="shared" si="104"/>
        <v>0</v>
      </c>
      <c r="BR55" s="320">
        <f t="shared" si="105"/>
      </c>
      <c r="BS55" s="320">
        <f t="shared" si="106"/>
      </c>
      <c r="BT55" s="153"/>
      <c r="BU55" s="178">
        <f t="shared" si="107"/>
        <v>0</v>
      </c>
      <c r="BV55" s="320">
        <f t="shared" si="108"/>
      </c>
      <c r="BW55" s="320">
        <f t="shared" si="109"/>
      </c>
      <c r="BX55" s="153"/>
      <c r="BY55" s="178">
        <f t="shared" si="110"/>
        <v>0</v>
      </c>
      <c r="BZ55" s="320">
        <f t="shared" si="111"/>
      </c>
      <c r="CA55" s="320">
        <f t="shared" si="112"/>
      </c>
      <c r="CB55" s="153"/>
    </row>
    <row r="56" spans="2:80" ht="13.5" customHeight="1" thickBot="1" thickTop="1">
      <c r="B56" s="372">
        <f>IF(BQ57&lt;&gt;0,"Excess "&amp;BQ57,"")</f>
      </c>
      <c r="C56" s="373">
        <f>SUM(C49:C55)</f>
        <v>0</v>
      </c>
      <c r="D56" s="374"/>
      <c r="E56" s="153"/>
      <c r="F56" s="372">
        <f>IF(BU57&lt;&gt;0,"Excess "&amp;BU57,"")</f>
      </c>
      <c r="G56" s="373">
        <f>SUM(G49:G55)</f>
        <v>0</v>
      </c>
      <c r="H56" s="374"/>
      <c r="I56" s="153"/>
      <c r="J56" s="372">
        <f>IF(BY57&lt;&gt;0,"Excess "&amp;BY57,"")</f>
      </c>
      <c r="K56" s="373">
        <f>SUM(K49:K55)</f>
        <v>0</v>
      </c>
      <c r="L56" s="374"/>
      <c r="M56" s="153"/>
      <c r="N56" s="45"/>
      <c r="O56" s="69"/>
      <c r="P56" s="75"/>
      <c r="Q56" s="97"/>
      <c r="R56" s="238" t="s">
        <v>174</v>
      </c>
      <c r="S56" s="238">
        <f t="shared" si="90"/>
        <v>0</v>
      </c>
      <c r="T56" s="238">
        <f t="shared" si="10"/>
      </c>
      <c r="U56" s="238">
        <f t="shared" si="8"/>
        <v>0</v>
      </c>
      <c r="V56" s="238">
        <f t="shared" si="9"/>
      </c>
      <c r="W56" s="51" t="s">
        <v>44</v>
      </c>
      <c r="X56" s="13">
        <v>3</v>
      </c>
      <c r="Y56" s="18" t="s">
        <v>45</v>
      </c>
      <c r="Z56" s="16" t="s">
        <v>83</v>
      </c>
      <c r="AD56" s="1">
        <v>56</v>
      </c>
      <c r="AE56" s="320">
        <f t="shared" si="63"/>
        <v>2000000</v>
      </c>
      <c r="AF56" s="139" t="str">
        <f>IF(W67="",0,IF(W67=W66,W67&amp;" "&amp;2,W67))</f>
        <v>T.E. 2</v>
      </c>
      <c r="AG56" s="38" t="str">
        <f>AF56</f>
        <v>T.E. 2</v>
      </c>
      <c r="AH56" s="331">
        <f>X67</f>
        <v>3</v>
      </c>
      <c r="AI56" s="332">
        <f>Q67</f>
        <v>0</v>
      </c>
      <c r="AJ56" s="294">
        <f t="shared" si="113"/>
      </c>
      <c r="AK56" s="293" t="b">
        <f>IF(X67=0,FALSE,IF(OR(LEFT(Q67,1)="T",S67/X67&gt;=2),TRUE,FALSE))</f>
        <v>0</v>
      </c>
      <c r="AL56" s="332">
        <f>IF(P67&gt;0,P67*100,1000000)+IF(LEFT(O67,2)="Sp",1,IF(LEFT(O67,2)="Su",5,IF(LEFT(O67,2)="Fa",9,1000000)))</f>
        <v>2000000</v>
      </c>
      <c r="AM56" s="139"/>
      <c r="AN56" s="77"/>
      <c r="BA56" s="336">
        <f ca="1" t="shared" si="91"/>
      </c>
      <c r="BB56" s="336">
        <f ca="1" t="shared" si="91"/>
      </c>
      <c r="BC56" s="336">
        <f ca="1" t="shared" si="91"/>
      </c>
      <c r="BD56" s="336">
        <f ca="1" t="shared" si="91"/>
      </c>
      <c r="BE56" s="336">
        <f ca="1" t="shared" si="91"/>
      </c>
      <c r="BF56" s="336">
        <f ca="1" t="shared" si="91"/>
      </c>
      <c r="BG56" s="336">
        <f ca="1" t="shared" si="91"/>
      </c>
      <c r="BH56" s="336">
        <f ca="1" t="shared" si="91"/>
      </c>
      <c r="BI56" s="336">
        <f ca="1" t="shared" si="91"/>
      </c>
      <c r="BJ56" s="336">
        <f ca="1" t="shared" si="91"/>
      </c>
      <c r="BK56" s="336">
        <f ca="1" t="shared" si="91"/>
      </c>
      <c r="BL56" s="336">
        <f ca="1" t="shared" si="91"/>
      </c>
      <c r="BM56" s="336">
        <f ca="1" t="shared" si="91"/>
      </c>
      <c r="BN56" s="336">
        <f ca="1" t="shared" si="91"/>
      </c>
      <c r="BO56" s="336">
        <f ca="1" t="shared" si="91"/>
      </c>
      <c r="BQ56" s="178">
        <f t="shared" si="104"/>
        <v>0</v>
      </c>
      <c r="BR56" s="320">
        <f t="shared" si="105"/>
      </c>
      <c r="BS56" s="320">
        <f t="shared" si="106"/>
      </c>
      <c r="BT56" s="153"/>
      <c r="BU56" s="178">
        <f t="shared" si="107"/>
        <v>0</v>
      </c>
      <c r="BV56" s="320">
        <f t="shared" si="108"/>
      </c>
      <c r="BW56" s="320">
        <f t="shared" si="109"/>
      </c>
      <c r="BX56" s="153"/>
      <c r="BY56" s="178">
        <f t="shared" si="110"/>
        <v>0</v>
      </c>
      <c r="BZ56" s="320">
        <f t="shared" si="111"/>
      </c>
      <c r="CA56" s="320">
        <f t="shared" si="112"/>
      </c>
      <c r="CB56" s="153"/>
    </row>
    <row r="57" spans="2:80" ht="13.5" customHeight="1" thickBot="1">
      <c r="B57" s="138"/>
      <c r="C57" s="152" t="s">
        <v>137</v>
      </c>
      <c r="D57" s="154">
        <f>IF(SUMIF(E49:E55,"&gt;=0",C49:C55)&gt;0,SUM(E49:E55)/SUMIF(E49:E55,"&gt;=0",C49:C55),"")</f>
      </c>
      <c r="E57" s="153"/>
      <c r="F57" s="139"/>
      <c r="G57" s="152" t="s">
        <v>137</v>
      </c>
      <c r="H57" s="154">
        <f>IF(SUMIF(I49:I55,"&gt;=0",G49:G55)&gt;0,SUM(I49:I55)/SUMIF(I49:I55,"&gt;=0",G49:G55),"")</f>
      </c>
      <c r="I57" s="153"/>
      <c r="J57" s="139"/>
      <c r="K57" s="152" t="s">
        <v>137</v>
      </c>
      <c r="L57" s="154">
        <f>IF(SUMIF(M49:M55,"&gt;=0",K49:K55)&gt;0,SUM(M49:M55)/SUMIF(M49:M55,"&gt;=0",K49:K55),"")</f>
      </c>
      <c r="M57" s="153"/>
      <c r="N57" s="45"/>
      <c r="O57" s="69"/>
      <c r="P57" s="75"/>
      <c r="Q57" s="97"/>
      <c r="R57" s="238" t="s">
        <v>174</v>
      </c>
      <c r="S57" s="238">
        <f t="shared" si="90"/>
        <v>0</v>
      </c>
      <c r="T57" s="238">
        <f t="shared" si="10"/>
      </c>
      <c r="U57" s="238">
        <f t="shared" si="8"/>
        <v>0</v>
      </c>
      <c r="V57" s="238">
        <f t="shared" si="9"/>
      </c>
      <c r="W57" s="51" t="s">
        <v>46</v>
      </c>
      <c r="X57" s="13">
        <v>3</v>
      </c>
      <c r="Y57" s="18" t="s">
        <v>47</v>
      </c>
      <c r="Z57" s="16" t="s">
        <v>283</v>
      </c>
      <c r="AD57" s="1">
        <v>57</v>
      </c>
      <c r="AE57" s="320">
        <f t="shared" si="63"/>
        <v>2000000</v>
      </c>
      <c r="AF57" s="327">
        <f>IF(W68="",0,IF(AND(W68=W67,W68=W66),W68&amp;" "&amp;3,IF(AND(W68=W66,NOT(W68=W67)),W68&amp;" "&amp;2,IF(AND(W68=W67,NOT(W68=W66)),W68&amp;" "&amp;2,W68))))</f>
        <v>0</v>
      </c>
      <c r="AG57" s="38">
        <f>AF57</f>
        <v>0</v>
      </c>
      <c r="AH57" s="331">
        <f>X68</f>
        <v>0</v>
      </c>
      <c r="AI57" s="332">
        <f>Q68</f>
        <v>0</v>
      </c>
      <c r="AJ57" s="294">
        <f t="shared" si="113"/>
      </c>
      <c r="AK57" s="293" t="b">
        <f>IF(X68=0,FALSE,IF(OR(LEFT(Q68,1)="T",S68/X68&gt;=2),TRUE,FALSE))</f>
        <v>0</v>
      </c>
      <c r="AL57" s="332">
        <f>IF(P68&gt;0,P68*100,1000000)+IF(LEFT(O68,2)="Sp",1,IF(LEFT(O68,2)="Su",5,IF(LEFT(O68,2)="Fa",9,1000000)))</f>
        <v>2000000</v>
      </c>
      <c r="AM57" s="139"/>
      <c r="AN57" s="77"/>
      <c r="AO57" s="37" t="b">
        <f>AND(AE57&gt;999999,AH55+AH56&gt;=6)</f>
        <v>1</v>
      </c>
      <c r="BA57" s="336">
        <f ca="1" t="shared" si="91"/>
      </c>
      <c r="BB57" s="336">
        <f ca="1" t="shared" si="91"/>
      </c>
      <c r="BC57" s="336">
        <f ca="1" t="shared" si="91"/>
      </c>
      <c r="BD57" s="336">
        <f ca="1" t="shared" si="91"/>
      </c>
      <c r="BE57" s="336">
        <f ca="1" t="shared" si="91"/>
      </c>
      <c r="BF57" s="336">
        <f ca="1" t="shared" si="91"/>
      </c>
      <c r="BG57" s="336">
        <f ca="1" t="shared" si="91"/>
      </c>
      <c r="BH57" s="336">
        <f ca="1" t="shared" si="91"/>
      </c>
      <c r="BI57" s="336">
        <f ca="1" t="shared" si="91"/>
      </c>
      <c r="BJ57" s="336">
        <f ca="1" t="shared" si="91"/>
      </c>
      <c r="BK57" s="336">
        <f ca="1" t="shared" si="91"/>
      </c>
      <c r="BL57" s="336">
        <f ca="1" t="shared" si="91"/>
      </c>
      <c r="BM57" s="336">
        <f ca="1" t="shared" si="91"/>
      </c>
      <c r="BN57" s="336">
        <f ca="1" t="shared" si="91"/>
      </c>
      <c r="BO57" s="336">
        <f ca="1" t="shared" si="91"/>
      </c>
      <c r="BQ57" s="178">
        <f t="shared" si="104"/>
        <v>0</v>
      </c>
      <c r="BR57" s="320">
        <f t="shared" si="105"/>
      </c>
      <c r="BS57" s="320">
        <f t="shared" si="106"/>
      </c>
      <c r="BT57" s="153"/>
      <c r="BU57" s="178">
        <f t="shared" si="107"/>
        <v>0</v>
      </c>
      <c r="BV57" s="320">
        <f t="shared" si="108"/>
      </c>
      <c r="BW57" s="320">
        <f t="shared" si="109"/>
      </c>
      <c r="BX57" s="153"/>
      <c r="BY57" s="178">
        <f t="shared" si="110"/>
        <v>0</v>
      </c>
      <c r="BZ57" s="320">
        <f t="shared" si="111"/>
      </c>
      <c r="CA57" s="320">
        <f t="shared" si="112"/>
      </c>
      <c r="CB57" s="153"/>
    </row>
    <row r="58" spans="2:80" ht="13.5" customHeight="1" thickBot="1">
      <c r="B58" s="128"/>
      <c r="C58" s="36"/>
      <c r="D58" s="36"/>
      <c r="E58" s="153"/>
      <c r="F58" s="124"/>
      <c r="G58" s="36"/>
      <c r="H58" s="36"/>
      <c r="I58" s="153"/>
      <c r="J58" s="36"/>
      <c r="K58" s="36"/>
      <c r="L58" s="36"/>
      <c r="M58" s="153"/>
      <c r="N58" s="45"/>
      <c r="O58" s="69"/>
      <c r="P58" s="75"/>
      <c r="Q58" s="97"/>
      <c r="R58" s="238" t="s">
        <v>174</v>
      </c>
      <c r="S58" s="238">
        <f t="shared" si="90"/>
        <v>0</v>
      </c>
      <c r="T58" s="238">
        <f t="shared" si="10"/>
      </c>
      <c r="U58" s="238">
        <f t="shared" si="8"/>
        <v>0</v>
      </c>
      <c r="V58" s="238">
        <f t="shared" si="9"/>
      </c>
      <c r="W58" s="51" t="s">
        <v>48</v>
      </c>
      <c r="X58" s="13">
        <v>3</v>
      </c>
      <c r="Y58" s="18" t="s">
        <v>49</v>
      </c>
      <c r="Z58" s="24" t="s">
        <v>276</v>
      </c>
      <c r="AD58" s="1">
        <v>58</v>
      </c>
      <c r="AE58" s="320">
        <f t="shared" si="63"/>
        <v>2000000</v>
      </c>
      <c r="AG58" s="38" t="str">
        <f aca="true" t="shared" si="114" ref="AG58:AG68">W70</f>
        <v>MA 112</v>
      </c>
      <c r="AH58" s="329">
        <f aca="true" t="shared" si="115" ref="AH58:AH68">X70</f>
        <v>3</v>
      </c>
      <c r="AI58" s="330">
        <f aca="true" t="shared" si="116" ref="AI58:AI68">Q70</f>
        <v>0</v>
      </c>
      <c r="AJ58" s="294">
        <f t="shared" si="113"/>
      </c>
      <c r="AK58" s="295" t="b">
        <f aca="true" t="shared" si="117" ref="AK58:AK65">IF(OR(LEFT(Q70,1)="T",S70/X70&gt;=2),TRUE,FALSE)</f>
        <v>0</v>
      </c>
      <c r="AL58" s="330">
        <f aca="true" t="shared" si="118" ref="AL58:AL68">IF(P70&gt;0,P70*100,1000000)+IF(LEFT(O70,2)="Sp",1,IF(LEFT(O70,2)="Su",5,IF(LEFT(O70,2)="Fa",9,1000000)))</f>
        <v>2000000</v>
      </c>
      <c r="AM58" s="139"/>
      <c r="AN58" s="77"/>
      <c r="AO58" s="37" t="b">
        <f>AE58&gt;999999</f>
        <v>1</v>
      </c>
      <c r="BA58" s="336">
        <f ca="1" t="shared" si="91"/>
      </c>
      <c r="BB58" s="336">
        <f ca="1" t="shared" si="91"/>
      </c>
      <c r="BC58" s="336">
        <f ca="1" t="shared" si="91"/>
      </c>
      <c r="BD58" s="336">
        <f ca="1" t="shared" si="91"/>
      </c>
      <c r="BE58" s="336">
        <f ca="1" t="shared" si="91"/>
      </c>
      <c r="BF58" s="336">
        <f ca="1" t="shared" si="91"/>
      </c>
      <c r="BG58" s="336">
        <f ca="1" t="shared" si="91"/>
      </c>
      <c r="BH58" s="336">
        <f ca="1" t="shared" si="91"/>
      </c>
      <c r="BI58" s="336">
        <f ca="1" t="shared" si="91"/>
      </c>
      <c r="BJ58" s="336">
        <f ca="1" t="shared" si="91"/>
      </c>
      <c r="BK58" s="336">
        <f ca="1" t="shared" si="91"/>
      </c>
      <c r="BL58" s="336">
        <f ca="1" t="shared" si="91"/>
      </c>
      <c r="BM58" s="336">
        <f ca="1" t="shared" si="91"/>
      </c>
      <c r="BN58" s="336">
        <f ca="1" t="shared" si="91"/>
      </c>
      <c r="BO58" s="336">
        <f ca="1" t="shared" si="91"/>
      </c>
      <c r="BQ58" s="138"/>
      <c r="BT58" s="153"/>
      <c r="BU58" s="139"/>
      <c r="BX58" s="153"/>
      <c r="BY58" s="139"/>
      <c r="CB58" s="153"/>
    </row>
    <row r="59" spans="2:69" ht="12.75" customHeight="1" thickBot="1">
      <c r="B59" s="406" t="str">
        <f>IF(OR($D$5="Spring",$D$5="Summer"),"Fall"&amp;" "&amp;$E$5+3,IF($D$5="Fall","Fall"&amp;" "&amp;$E$5+4,""))</f>
        <v>Fall 2017</v>
      </c>
      <c r="C59" s="407"/>
      <c r="D59" s="408"/>
      <c r="E59" s="156">
        <f>IF(LEFT(B59,2)="Sp",1,IF(LEFT(B59,2)="Su",5,9))+VALUE(RIGHT(B59,4))*100</f>
        <v>201709</v>
      </c>
      <c r="F59" s="406" t="str">
        <f>IF(F11="Spring"&amp;" "&amp;E5+1,"Spring"&amp;" "&amp;E5+5,"Spring"&amp;" "&amp;E5+4)</f>
        <v>Spring 2018</v>
      </c>
      <c r="G59" s="407"/>
      <c r="H59" s="408"/>
      <c r="I59" s="156">
        <f>IF(LEFT(F59,2)="Sp",1,IF(LEFT(F59,2)="Su",5,9))+VALUE(RIGHT(F59,4))*100</f>
        <v>201801</v>
      </c>
      <c r="J59" s="406" t="str">
        <f>IF(J11="Summer"&amp;" "&amp;E5+1,"Summer"&amp;" "&amp;E5+5,"Summer"&amp;" "&amp;E5+4)</f>
        <v>Summer 2018</v>
      </c>
      <c r="K59" s="407"/>
      <c r="L59" s="408"/>
      <c r="M59" s="156">
        <f>IF(LEFT(J59,2)="Sp",1,IF(LEFT(J59,2)="Su",5,9))+VALUE(RIGHT(J59,4))*100</f>
        <v>201805</v>
      </c>
      <c r="N59" s="45"/>
      <c r="O59" s="69"/>
      <c r="P59" s="75"/>
      <c r="Q59" s="97"/>
      <c r="R59" s="238" t="s">
        <v>174</v>
      </c>
      <c r="S59" s="238">
        <f t="shared" si="90"/>
        <v>0</v>
      </c>
      <c r="T59" s="238">
        <f t="shared" si="10"/>
      </c>
      <c r="U59" s="238">
        <f t="shared" si="8"/>
        <v>0</v>
      </c>
      <c r="V59" s="238">
        <f t="shared" si="9"/>
      </c>
      <c r="W59" s="51" t="s">
        <v>50</v>
      </c>
      <c r="X59" s="13">
        <v>3</v>
      </c>
      <c r="Y59" s="18" t="s">
        <v>51</v>
      </c>
      <c r="Z59" s="16" t="s">
        <v>234</v>
      </c>
      <c r="AD59" s="1">
        <v>59</v>
      </c>
      <c r="AE59" s="320">
        <f t="shared" si="63"/>
        <v>2000000</v>
      </c>
      <c r="AG59" s="38" t="str">
        <f t="shared" si="114"/>
        <v>MA 113</v>
      </c>
      <c r="AH59" s="333">
        <f t="shared" si="115"/>
        <v>3</v>
      </c>
      <c r="AI59" s="39">
        <f t="shared" si="116"/>
        <v>0</v>
      </c>
      <c r="AJ59" s="294">
        <f>IF(AN59="y",AG59,IF(AE59=10101,AG59,IF(AE59&gt;999999,"",IF(AND(AE59&lt;=AE58,AE58&lt;999999),"PREREQ ERROR_MA 112",AG59))))</f>
      </c>
      <c r="AK59" s="158" t="b">
        <f t="shared" si="117"/>
        <v>0</v>
      </c>
      <c r="AL59" s="320">
        <f t="shared" si="118"/>
        <v>2000000</v>
      </c>
      <c r="AM59" s="139"/>
      <c r="AN59" s="108"/>
      <c r="AO59" s="37" t="b">
        <f aca="true" t="shared" si="119" ref="AO59:AO80">AE59&gt;999999</f>
        <v>1</v>
      </c>
      <c r="BA59" s="336">
        <f ca="1" t="shared" si="91"/>
      </c>
      <c r="BB59" s="336">
        <f ca="1" t="shared" si="91"/>
      </c>
      <c r="BC59" s="336">
        <f ca="1" t="shared" si="91"/>
      </c>
      <c r="BD59" s="336">
        <f ca="1" t="shared" si="91"/>
      </c>
      <c r="BE59" s="336">
        <f ca="1" t="shared" si="91"/>
      </c>
      <c r="BF59" s="336">
        <f ca="1" t="shared" si="91"/>
      </c>
      <c r="BG59" s="336">
        <f ca="1" t="shared" si="91"/>
      </c>
      <c r="BH59" s="336">
        <f ca="1" t="shared" si="91"/>
      </c>
      <c r="BI59" s="336">
        <f ca="1" t="shared" si="91"/>
      </c>
      <c r="BJ59" s="336">
        <f ca="1" t="shared" si="91"/>
      </c>
      <c r="BK59" s="336">
        <f ca="1" t="shared" si="91"/>
      </c>
      <c r="BL59" s="336">
        <f ca="1" t="shared" si="91"/>
      </c>
      <c r="BM59" s="336">
        <f ca="1" t="shared" si="91"/>
      </c>
      <c r="BN59" s="336">
        <f ca="1" t="shared" si="91"/>
      </c>
      <c r="BO59" s="336">
        <f ca="1" t="shared" si="91"/>
      </c>
      <c r="BQ59" s="175"/>
    </row>
    <row r="60" spans="2:80" ht="13.5" customHeight="1">
      <c r="B60" s="135" t="s">
        <v>2</v>
      </c>
      <c r="C60" s="136" t="s">
        <v>3</v>
      </c>
      <c r="D60" s="137" t="s">
        <v>4</v>
      </c>
      <c r="E60" s="153"/>
      <c r="F60" s="135" t="s">
        <v>2</v>
      </c>
      <c r="G60" s="136" t="s">
        <v>3</v>
      </c>
      <c r="H60" s="137" t="s">
        <v>4</v>
      </c>
      <c r="I60" s="153"/>
      <c r="J60" s="135" t="s">
        <v>2</v>
      </c>
      <c r="K60" s="136" t="s">
        <v>3</v>
      </c>
      <c r="L60" s="137" t="s">
        <v>4</v>
      </c>
      <c r="M60" s="153"/>
      <c r="N60" s="45"/>
      <c r="O60" s="69"/>
      <c r="P60" s="75"/>
      <c r="Q60" s="97"/>
      <c r="R60" s="238" t="s">
        <v>174</v>
      </c>
      <c r="S60" s="238">
        <f t="shared" si="90"/>
        <v>0</v>
      </c>
      <c r="T60" s="238">
        <f t="shared" si="10"/>
      </c>
      <c r="U60" s="238">
        <f t="shared" si="8"/>
        <v>0</v>
      </c>
      <c r="V60" s="238">
        <f t="shared" si="9"/>
      </c>
      <c r="W60" s="51" t="s">
        <v>52</v>
      </c>
      <c r="X60" s="15">
        <v>3</v>
      </c>
      <c r="Y60" s="18" t="s">
        <v>53</v>
      </c>
      <c r="Z60" s="24" t="s">
        <v>241</v>
      </c>
      <c r="AD60" s="1">
        <v>60</v>
      </c>
      <c r="AE60" s="320">
        <f t="shared" si="63"/>
        <v>2000000</v>
      </c>
      <c r="AG60" s="38" t="str">
        <f t="shared" si="114"/>
        <v>MA 115</v>
      </c>
      <c r="AH60" s="333">
        <f t="shared" si="115"/>
        <v>4</v>
      </c>
      <c r="AI60" s="39">
        <f t="shared" si="116"/>
        <v>0</v>
      </c>
      <c r="AJ60" s="294">
        <f t="shared" si="113"/>
      </c>
      <c r="AK60" s="158" t="b">
        <f t="shared" si="117"/>
        <v>0</v>
      </c>
      <c r="AL60" s="320">
        <f t="shared" si="118"/>
        <v>2000000</v>
      </c>
      <c r="AM60" s="139"/>
      <c r="AN60" s="77"/>
      <c r="AO60" s="37" t="b">
        <f t="shared" si="119"/>
        <v>1</v>
      </c>
      <c r="BA60" s="336">
        <f ca="1" t="shared" si="91"/>
      </c>
      <c r="BB60" s="336">
        <f ca="1" t="shared" si="91"/>
      </c>
      <c r="BC60" s="336">
        <f ca="1" t="shared" si="91"/>
      </c>
      <c r="BD60" s="336">
        <f ca="1" t="shared" si="91"/>
      </c>
      <c r="BE60" s="336">
        <f ca="1" t="shared" si="91"/>
      </c>
      <c r="BF60" s="336">
        <f ca="1" t="shared" si="91"/>
      </c>
      <c r="BG60" s="336">
        <f ca="1" t="shared" si="91"/>
      </c>
      <c r="BH60" s="336">
        <f ca="1" t="shared" si="91"/>
      </c>
      <c r="BI60" s="336">
        <f ca="1" t="shared" si="91"/>
      </c>
      <c r="BJ60" s="336">
        <f ca="1" t="shared" si="91"/>
      </c>
      <c r="BK60" s="336">
        <f ca="1" t="shared" si="91"/>
      </c>
      <c r="BL60" s="336">
        <f ca="1" t="shared" si="91"/>
      </c>
      <c r="BM60" s="336">
        <f ca="1" t="shared" si="91"/>
      </c>
      <c r="BN60" s="336">
        <f ca="1" t="shared" si="91"/>
      </c>
      <c r="BO60" s="336">
        <f ca="1" t="shared" si="91"/>
      </c>
      <c r="BQ60" s="188">
        <f>E59</f>
        <v>201709</v>
      </c>
      <c r="BR60" s="189"/>
      <c r="BS60" s="190"/>
      <c r="BT60" s="153"/>
      <c r="BU60" s="188">
        <f>I59</f>
        <v>201801</v>
      </c>
      <c r="BV60" s="189"/>
      <c r="BW60" s="190"/>
      <c r="BX60" s="153"/>
      <c r="BY60" s="188">
        <f>M59</f>
        <v>201805</v>
      </c>
      <c r="BZ60" s="189"/>
      <c r="CA60" s="190"/>
      <c r="CB60" s="153"/>
    </row>
    <row r="61" spans="2:80" ht="13.5" customHeight="1">
      <c r="B61" s="130">
        <f aca="true" t="shared" si="120" ref="B61:B67">IF(BR62=BS62,BR62,"Error "&amp;BQ62)</f>
      </c>
      <c r="C61" s="39">
        <f aca="true" t="shared" si="121" ref="C61:C67">IF(BQ62&gt;0,INDEX(MECourses,BQ62,2),"")</f>
      </c>
      <c r="D61" s="43">
        <f aca="true" t="shared" si="122" ref="D61:D67">IF(BQ62&gt;0,INDEX(MECourses,BQ62,3),"")</f>
      </c>
      <c r="E61" s="153">
        <f>IF(LEFT(D61,1)="a",4,IF(LEFT(D61,1)="b",3,IF(LEFT(D61,1)="c",2,IF(LEFT(D61,1)="d",1,0))))*N(C61)</f>
        <v>0</v>
      </c>
      <c r="F61" s="130">
        <f aca="true" t="shared" si="123" ref="F61:F67">IF(BV62=BW62,BV62,"Error "&amp;BU62)</f>
      </c>
      <c r="G61" s="39">
        <f aca="true" t="shared" si="124" ref="G61:G67">IF(BU62&gt;0,INDEX(MECourses,BU62,2),"")</f>
      </c>
      <c r="H61" s="43">
        <f aca="true" t="shared" si="125" ref="H61:H67">IF(BU62&gt;0,INDEX(MECourses,BU62,3),"")</f>
      </c>
      <c r="I61" s="153">
        <f>IF(LEFT(H61,1)="a",4,IF(LEFT(H61,1)="b",3,IF(LEFT(H61,1)="c",2,IF(LEFT(H61,1)="d",1,0))))*N(G61)</f>
        <v>0</v>
      </c>
      <c r="J61" s="130">
        <f aca="true" t="shared" si="126" ref="J61:J67">IF(BZ62=CA62,BZ62,"Error "&amp;BY62)</f>
      </c>
      <c r="K61" s="39">
        <f aca="true" t="shared" si="127" ref="K61:K67">IF(BY62&gt;0,INDEX(MECourses,BY62,2),"")</f>
      </c>
      <c r="L61" s="43">
        <f aca="true" t="shared" si="128" ref="L61:L67">IF(BY62&gt;0,INDEX(MECourses,BY62,3),"")</f>
      </c>
      <c r="M61" s="153">
        <f aca="true" t="shared" si="129" ref="M61:M67">IF(LEFT(L61,1)="a",4,IF(LEFT(L61,1)="b",3,IF(LEFT(L61,1)="c",2,IF(LEFT(L61,1)="d",1,0))))*N(K61)</f>
        <v>0</v>
      </c>
      <c r="N61" s="45"/>
      <c r="O61" s="97"/>
      <c r="P61" s="78"/>
      <c r="Q61" s="99"/>
      <c r="R61" s="246" t="s">
        <v>174</v>
      </c>
      <c r="S61" s="238">
        <f t="shared" si="90"/>
        <v>0</v>
      </c>
      <c r="T61" s="238">
        <f t="shared" si="10"/>
      </c>
      <c r="U61" s="238">
        <f t="shared" si="8"/>
        <v>0</v>
      </c>
      <c r="V61" s="238">
        <f t="shared" si="9"/>
      </c>
      <c r="W61" s="249" t="s">
        <v>54</v>
      </c>
      <c r="X61" s="250">
        <v>3</v>
      </c>
      <c r="Y61" s="251" t="s">
        <v>235</v>
      </c>
      <c r="Z61" s="252" t="s">
        <v>277</v>
      </c>
      <c r="AA61" s="383" t="s">
        <v>70</v>
      </c>
      <c r="AB61" s="384"/>
      <c r="AD61" s="1">
        <v>61</v>
      </c>
      <c r="AE61" s="320">
        <f t="shared" si="63"/>
        <v>2000000</v>
      </c>
      <c r="AG61" s="38" t="str">
        <f t="shared" si="114"/>
        <v>CH 101</v>
      </c>
      <c r="AH61" s="333">
        <f t="shared" si="115"/>
        <v>3</v>
      </c>
      <c r="AI61" s="39">
        <f t="shared" si="116"/>
        <v>0</v>
      </c>
      <c r="AJ61" s="294">
        <f t="shared" si="113"/>
      </c>
      <c r="AK61" s="158" t="b">
        <f t="shared" si="117"/>
        <v>0</v>
      </c>
      <c r="AL61" s="320">
        <f t="shared" si="118"/>
        <v>2000000</v>
      </c>
      <c r="AM61" s="139"/>
      <c r="AN61" s="77"/>
      <c r="AO61" s="37" t="b">
        <f t="shared" si="119"/>
        <v>1</v>
      </c>
      <c r="BA61" s="336">
        <f ca="1" t="shared" si="91"/>
      </c>
      <c r="BB61" s="336">
        <f ca="1" t="shared" si="91"/>
      </c>
      <c r="BC61" s="336">
        <f ca="1" t="shared" si="91"/>
      </c>
      <c r="BD61" s="336">
        <f ca="1" t="shared" si="91"/>
      </c>
      <c r="BE61" s="336">
        <f ca="1" t="shared" si="91"/>
      </c>
      <c r="BF61" s="336">
        <f ca="1" t="shared" si="91"/>
      </c>
      <c r="BG61" s="336">
        <f ca="1" t="shared" si="91"/>
      </c>
      <c r="BH61" s="336">
        <f ca="1" t="shared" si="91"/>
      </c>
      <c r="BI61" s="336">
        <f ca="1" t="shared" si="91"/>
      </c>
      <c r="BJ61" s="336">
        <f ca="1" t="shared" si="91"/>
      </c>
      <c r="BK61" s="336">
        <f ca="1" t="shared" si="91"/>
      </c>
      <c r="BL61" s="336">
        <f ca="1" t="shared" si="91"/>
      </c>
      <c r="BM61" s="336">
        <f ca="1" t="shared" si="91"/>
      </c>
      <c r="BN61" s="336">
        <f ca="1" t="shared" si="91"/>
      </c>
      <c r="BO61" s="336">
        <f ca="1" t="shared" si="91"/>
      </c>
      <c r="BQ61" s="340" t="s">
        <v>153</v>
      </c>
      <c r="BR61" s="340" t="s">
        <v>155</v>
      </c>
      <c r="BS61" s="340" t="s">
        <v>156</v>
      </c>
      <c r="BT61" s="153"/>
      <c r="BU61" s="340" t="s">
        <v>153</v>
      </c>
      <c r="BV61" s="340" t="s">
        <v>155</v>
      </c>
      <c r="BW61" s="340" t="s">
        <v>156</v>
      </c>
      <c r="BX61" s="153"/>
      <c r="BY61" s="340" t="s">
        <v>153</v>
      </c>
      <c r="BZ61" s="340" t="s">
        <v>155</v>
      </c>
      <c r="CA61" s="340" t="s">
        <v>156</v>
      </c>
      <c r="CB61" s="153"/>
    </row>
    <row r="62" spans="2:80" ht="13.5" customHeight="1">
      <c r="B62" s="130">
        <f t="shared" si="120"/>
      </c>
      <c r="C62" s="39">
        <f t="shared" si="121"/>
      </c>
      <c r="D62" s="43">
        <f t="shared" si="122"/>
      </c>
      <c r="E62" s="153">
        <f aca="true" t="shared" si="130" ref="E62:E67">IF(LEFT(D62,1)="a",4,IF(LEFT(D62,1)="b",3,IF(LEFT(D62,1)="c",2,IF(LEFT(D62,1)="d",1,0))))*N(C62)</f>
        <v>0</v>
      </c>
      <c r="F62" s="130">
        <f t="shared" si="123"/>
      </c>
      <c r="G62" s="39">
        <f t="shared" si="124"/>
      </c>
      <c r="H62" s="43">
        <f t="shared" si="125"/>
      </c>
      <c r="I62" s="153">
        <f aca="true" t="shared" si="131" ref="I62:I67">IF(LEFT(H62,1)="a",4,IF(LEFT(H62,1)="b",3,IF(LEFT(H62,1)="c",2,IF(LEFT(H62,1)="d",1,0))))*N(G62)</f>
        <v>0</v>
      </c>
      <c r="J62" s="130">
        <f t="shared" si="126"/>
      </c>
      <c r="K62" s="39">
        <f t="shared" si="127"/>
      </c>
      <c r="L62" s="43">
        <f t="shared" si="128"/>
      </c>
      <c r="M62" s="153">
        <f t="shared" si="129"/>
        <v>0</v>
      </c>
      <c r="N62" s="45"/>
      <c r="O62" s="97"/>
      <c r="P62" s="78"/>
      <c r="Q62" s="99"/>
      <c r="R62" s="246" t="s">
        <v>174</v>
      </c>
      <c r="S62" s="238">
        <f t="shared" si="90"/>
        <v>0</v>
      </c>
      <c r="T62" s="238">
        <f t="shared" si="10"/>
      </c>
      <c r="U62" s="238">
        <f t="shared" si="8"/>
        <v>0</v>
      </c>
      <c r="V62" s="238">
        <f t="shared" si="9"/>
      </c>
      <c r="W62" s="249" t="s">
        <v>69</v>
      </c>
      <c r="X62" s="250">
        <v>3</v>
      </c>
      <c r="Y62" s="251" t="s">
        <v>236</v>
      </c>
      <c r="Z62" s="252" t="s">
        <v>277</v>
      </c>
      <c r="AA62" s="383"/>
      <c r="AB62" s="384"/>
      <c r="AD62" s="1">
        <v>62</v>
      </c>
      <c r="AE62" s="320">
        <f t="shared" si="63"/>
        <v>2000000</v>
      </c>
      <c r="AG62" s="38" t="str">
        <f t="shared" si="114"/>
        <v>CH 105</v>
      </c>
      <c r="AH62" s="333">
        <f t="shared" si="115"/>
        <v>1</v>
      </c>
      <c r="AI62" s="39">
        <f t="shared" si="116"/>
        <v>0</v>
      </c>
      <c r="AJ62" s="294">
        <f t="shared" si="113"/>
      </c>
      <c r="AK62" s="158" t="b">
        <f t="shared" si="117"/>
        <v>0</v>
      </c>
      <c r="AL62" s="320">
        <f t="shared" si="118"/>
        <v>2000000</v>
      </c>
      <c r="AM62" s="139"/>
      <c r="AN62" s="77"/>
      <c r="AO62" s="37" t="b">
        <f t="shared" si="119"/>
        <v>1</v>
      </c>
      <c r="BA62" s="336">
        <f ca="1" t="shared" si="91"/>
      </c>
      <c r="BB62" s="336">
        <f ca="1" t="shared" si="91"/>
      </c>
      <c r="BC62" s="336">
        <f ca="1" t="shared" si="91"/>
      </c>
      <c r="BD62" s="336">
        <f ca="1" t="shared" si="91"/>
      </c>
      <c r="BE62" s="336">
        <f ca="1" t="shared" si="91"/>
      </c>
      <c r="BF62" s="336">
        <f ca="1" t="shared" si="91"/>
      </c>
      <c r="BG62" s="336">
        <f ca="1" t="shared" si="91"/>
      </c>
      <c r="BH62" s="336">
        <f ca="1" t="shared" si="91"/>
      </c>
      <c r="BI62" s="336">
        <f ca="1" t="shared" si="91"/>
      </c>
      <c r="BJ62" s="336">
        <f ca="1" t="shared" si="91"/>
      </c>
      <c r="BK62" s="336">
        <f ca="1" t="shared" si="91"/>
      </c>
      <c r="BL62" s="336">
        <f ca="1" t="shared" si="91"/>
      </c>
      <c r="BM62" s="336">
        <f ca="1" t="shared" si="91"/>
      </c>
      <c r="BN62" s="336">
        <f ca="1" t="shared" si="91"/>
      </c>
      <c r="BO62" s="336">
        <f ca="1" t="shared" si="91"/>
      </c>
      <c r="BQ62" s="176">
        <f aca="true" t="shared" si="132" ref="BQ62:BQ69">BM82</f>
        <v>0</v>
      </c>
      <c r="BR62" s="320">
        <f aca="true" t="shared" si="133" ref="BR62:BR69">IF(BQ62&gt;0,INDEX(MECourses,BQ62,1),"")</f>
      </c>
      <c r="BS62" s="320">
        <f aca="true" t="shared" si="134" ref="BS62:BS69">IF(BQ62&gt;0,INDEX(MECourses,BQ62,4),"")</f>
      </c>
      <c r="BT62" s="153"/>
      <c r="BU62" s="176">
        <f aca="true" t="shared" si="135" ref="BU62:BU69">BN82</f>
        <v>0</v>
      </c>
      <c r="BV62" s="320">
        <f aca="true" t="shared" si="136" ref="BV62:BV69">IF(BU62&gt;0,INDEX(MECourses,BU62,1),"")</f>
      </c>
      <c r="BW62" s="320">
        <f aca="true" t="shared" si="137" ref="BW62:BW69">IF(BU62&gt;0,INDEX(MECourses,BU62,4),"")</f>
      </c>
      <c r="BX62" s="153"/>
      <c r="BY62" s="176">
        <f aca="true" t="shared" si="138" ref="BY62:BY69">BO82</f>
        <v>0</v>
      </c>
      <c r="BZ62" s="320">
        <f aca="true" t="shared" si="139" ref="BZ62:BZ69">IF(BY62&gt;0,INDEX(MECourses,BY62,1),"")</f>
      </c>
      <c r="CA62" s="320">
        <f aca="true" t="shared" si="140" ref="CA62:CA69">IF(BY62&gt;0,INDEX(MECourses,BY62,4),"")</f>
      </c>
      <c r="CB62" s="153"/>
    </row>
    <row r="63" spans="2:80" ht="13.5" customHeight="1">
      <c r="B63" s="130">
        <f t="shared" si="120"/>
      </c>
      <c r="C63" s="39">
        <f t="shared" si="121"/>
      </c>
      <c r="D63" s="43">
        <f t="shared" si="122"/>
      </c>
      <c r="E63" s="153">
        <f t="shared" si="130"/>
        <v>0</v>
      </c>
      <c r="F63" s="130">
        <f t="shared" si="123"/>
      </c>
      <c r="G63" s="39">
        <f t="shared" si="124"/>
      </c>
      <c r="H63" s="43">
        <f t="shared" si="125"/>
      </c>
      <c r="I63" s="153">
        <f t="shared" si="131"/>
        <v>0</v>
      </c>
      <c r="J63" s="130">
        <f t="shared" si="126"/>
      </c>
      <c r="K63" s="39">
        <f t="shared" si="127"/>
      </c>
      <c r="L63" s="43">
        <f t="shared" si="128"/>
      </c>
      <c r="M63" s="153">
        <f t="shared" si="129"/>
        <v>0</v>
      </c>
      <c r="N63" s="45"/>
      <c r="O63" s="97"/>
      <c r="P63" s="78"/>
      <c r="Q63" s="99"/>
      <c r="R63" s="246" t="s">
        <v>174</v>
      </c>
      <c r="S63" s="238">
        <f t="shared" si="90"/>
        <v>0</v>
      </c>
      <c r="T63" s="238">
        <f t="shared" si="10"/>
      </c>
      <c r="U63" s="238">
        <f t="shared" si="8"/>
        <v>0</v>
      </c>
      <c r="V63" s="238">
        <f t="shared" si="9"/>
      </c>
      <c r="W63" s="249" t="s">
        <v>79</v>
      </c>
      <c r="X63" s="250">
        <v>3</v>
      </c>
      <c r="Y63" s="251" t="s">
        <v>80</v>
      </c>
      <c r="Z63" s="252" t="s">
        <v>277</v>
      </c>
      <c r="AA63" s="383"/>
      <c r="AB63" s="384"/>
      <c r="AD63" s="1">
        <v>63</v>
      </c>
      <c r="AE63" s="320">
        <f t="shared" si="63"/>
        <v>2000000</v>
      </c>
      <c r="AG63" s="38" t="str">
        <f t="shared" si="114"/>
        <v>CPE 112</v>
      </c>
      <c r="AH63" s="333">
        <f t="shared" si="115"/>
        <v>3</v>
      </c>
      <c r="AI63" s="39">
        <f t="shared" si="116"/>
        <v>0</v>
      </c>
      <c r="AJ63" s="294">
        <f t="shared" si="113"/>
      </c>
      <c r="AK63" s="158" t="b">
        <f t="shared" si="117"/>
        <v>0</v>
      </c>
      <c r="AL63" s="320">
        <f t="shared" si="118"/>
        <v>2000000</v>
      </c>
      <c r="AM63" s="139"/>
      <c r="AN63" s="77"/>
      <c r="AO63" s="37" t="b">
        <f t="shared" si="119"/>
        <v>1</v>
      </c>
      <c r="BA63" s="336">
        <f ca="1" t="shared" si="91"/>
      </c>
      <c r="BB63" s="336">
        <f ca="1" t="shared" si="91"/>
      </c>
      <c r="BC63" s="336">
        <f ca="1" t="shared" si="91"/>
      </c>
      <c r="BD63" s="336">
        <f ca="1" t="shared" si="91"/>
      </c>
      <c r="BE63" s="336">
        <f ca="1" t="shared" si="91"/>
      </c>
      <c r="BF63" s="336">
        <f ca="1" t="shared" si="91"/>
      </c>
      <c r="BG63" s="336">
        <f ca="1" t="shared" si="91"/>
      </c>
      <c r="BH63" s="336">
        <f ca="1" t="shared" si="91"/>
      </c>
      <c r="BI63" s="336">
        <f ca="1" t="shared" si="91"/>
      </c>
      <c r="BJ63" s="336">
        <f ca="1" t="shared" si="91"/>
      </c>
      <c r="BK63" s="336">
        <f ca="1" t="shared" si="91"/>
      </c>
      <c r="BL63" s="336">
        <f ca="1" t="shared" si="91"/>
      </c>
      <c r="BM63" s="336">
        <f ca="1" t="shared" si="91"/>
      </c>
      <c r="BN63" s="336">
        <f ca="1" t="shared" si="91"/>
      </c>
      <c r="BO63" s="336">
        <f ca="1" t="shared" si="91"/>
      </c>
      <c r="BQ63" s="178">
        <f t="shared" si="132"/>
        <v>0</v>
      </c>
      <c r="BR63" s="320">
        <f t="shared" si="133"/>
      </c>
      <c r="BS63" s="320">
        <f t="shared" si="134"/>
      </c>
      <c r="BT63" s="153"/>
      <c r="BU63" s="178">
        <f t="shared" si="135"/>
        <v>0</v>
      </c>
      <c r="BV63" s="320">
        <f t="shared" si="136"/>
      </c>
      <c r="BW63" s="320">
        <f t="shared" si="137"/>
      </c>
      <c r="BX63" s="153"/>
      <c r="BY63" s="178">
        <f t="shared" si="138"/>
        <v>0</v>
      </c>
      <c r="BZ63" s="320">
        <f t="shared" si="139"/>
      </c>
      <c r="CA63" s="320">
        <f t="shared" si="140"/>
      </c>
      <c r="CB63" s="153"/>
    </row>
    <row r="64" spans="2:80" ht="13.5" customHeight="1" thickBot="1">
      <c r="B64" s="130">
        <f t="shared" si="120"/>
      </c>
      <c r="C64" s="39">
        <f t="shared" si="121"/>
      </c>
      <c r="D64" s="43">
        <f t="shared" si="122"/>
      </c>
      <c r="E64" s="153">
        <f t="shared" si="130"/>
        <v>0</v>
      </c>
      <c r="F64" s="130">
        <f t="shared" si="123"/>
      </c>
      <c r="G64" s="39">
        <f t="shared" si="124"/>
      </c>
      <c r="H64" s="43">
        <f t="shared" si="125"/>
      </c>
      <c r="I64" s="153">
        <f t="shared" si="131"/>
        <v>0</v>
      </c>
      <c r="J64" s="130">
        <f t="shared" si="126"/>
      </c>
      <c r="K64" s="39">
        <f t="shared" si="127"/>
      </c>
      <c r="L64" s="43">
        <f t="shared" si="128"/>
      </c>
      <c r="M64" s="153">
        <f t="shared" si="129"/>
        <v>0</v>
      </c>
      <c r="N64" s="45"/>
      <c r="O64" s="96"/>
      <c r="P64" s="80"/>
      <c r="Q64" s="107"/>
      <c r="R64" s="247" t="s">
        <v>174</v>
      </c>
      <c r="S64" s="237">
        <f t="shared" si="90"/>
        <v>0</v>
      </c>
      <c r="T64" s="237">
        <f t="shared" si="10"/>
      </c>
      <c r="U64" s="237">
        <f t="shared" si="8"/>
        <v>0</v>
      </c>
      <c r="V64" s="237">
        <f t="shared" si="9"/>
      </c>
      <c r="W64" s="253" t="s">
        <v>81</v>
      </c>
      <c r="X64" s="254">
        <v>3</v>
      </c>
      <c r="Y64" s="255" t="s">
        <v>82</v>
      </c>
      <c r="Z64" s="252" t="s">
        <v>277</v>
      </c>
      <c r="AA64" s="383"/>
      <c r="AB64" s="384"/>
      <c r="AD64" s="1">
        <v>64</v>
      </c>
      <c r="AE64" s="320">
        <f t="shared" si="63"/>
        <v>2000000</v>
      </c>
      <c r="AF64" s="139"/>
      <c r="AG64" s="38" t="str">
        <f t="shared" si="114"/>
        <v>CHE 197</v>
      </c>
      <c r="AH64" s="333">
        <f t="shared" si="115"/>
        <v>3</v>
      </c>
      <c r="AI64" s="39">
        <f t="shared" si="116"/>
        <v>0</v>
      </c>
      <c r="AJ64" s="294">
        <f t="shared" si="113"/>
      </c>
      <c r="AK64" s="158" t="b">
        <f t="shared" si="117"/>
        <v>0</v>
      </c>
      <c r="AL64" s="320">
        <f t="shared" si="118"/>
        <v>2000000</v>
      </c>
      <c r="AM64" s="139"/>
      <c r="AN64" s="77"/>
      <c r="AO64" s="37" t="b">
        <f t="shared" si="119"/>
        <v>1</v>
      </c>
      <c r="BA64" s="336">
        <f ca="1" t="shared" si="91"/>
      </c>
      <c r="BB64" s="336">
        <f ca="1" t="shared" si="91"/>
      </c>
      <c r="BC64" s="336">
        <f ca="1" t="shared" si="91"/>
      </c>
      <c r="BD64" s="336">
        <f ca="1" t="shared" si="91"/>
      </c>
      <c r="BE64" s="336">
        <f ca="1" t="shared" si="91"/>
      </c>
      <c r="BF64" s="336">
        <f ca="1" t="shared" si="91"/>
      </c>
      <c r="BG64" s="336">
        <f ca="1" t="shared" si="91"/>
      </c>
      <c r="BH64" s="336">
        <f ca="1" t="shared" si="91"/>
      </c>
      <c r="BI64" s="336">
        <f ca="1" t="shared" si="91"/>
      </c>
      <c r="BJ64" s="336">
        <f ca="1" t="shared" si="91"/>
      </c>
      <c r="BK64" s="336">
        <f ca="1" t="shared" si="91"/>
      </c>
      <c r="BL64" s="336">
        <f ca="1" t="shared" si="91"/>
      </c>
      <c r="BM64" s="336">
        <f ca="1" t="shared" si="91"/>
      </c>
      <c r="BN64" s="336">
        <f ca="1" t="shared" si="91"/>
      </c>
      <c r="BO64" s="336">
        <f ca="1" t="shared" si="91"/>
      </c>
      <c r="BQ64" s="178">
        <f t="shared" si="132"/>
        <v>0</v>
      </c>
      <c r="BR64" s="320">
        <f t="shared" si="133"/>
      </c>
      <c r="BS64" s="320">
        <f t="shared" si="134"/>
      </c>
      <c r="BT64" s="153"/>
      <c r="BU64" s="178">
        <f t="shared" si="135"/>
        <v>0</v>
      </c>
      <c r="BV64" s="320">
        <f t="shared" si="136"/>
      </c>
      <c r="BW64" s="320">
        <f t="shared" si="137"/>
      </c>
      <c r="BX64" s="153"/>
      <c r="BY64" s="178">
        <f t="shared" si="138"/>
        <v>0</v>
      </c>
      <c r="BZ64" s="320">
        <f t="shared" si="139"/>
      </c>
      <c r="CA64" s="320">
        <f t="shared" si="140"/>
      </c>
      <c r="CB64" s="153"/>
    </row>
    <row r="65" spans="2:80" ht="13.5" customHeight="1" thickBot="1">
      <c r="B65" s="130">
        <f t="shared" si="120"/>
      </c>
      <c r="C65" s="39">
        <f t="shared" si="121"/>
      </c>
      <c r="D65" s="43">
        <f t="shared" si="122"/>
      </c>
      <c r="E65" s="153">
        <f t="shared" si="130"/>
        <v>0</v>
      </c>
      <c r="F65" s="130">
        <f t="shared" si="123"/>
      </c>
      <c r="G65" s="39">
        <f t="shared" si="124"/>
      </c>
      <c r="H65" s="43">
        <f t="shared" si="125"/>
      </c>
      <c r="I65" s="153">
        <f t="shared" si="131"/>
        <v>0</v>
      </c>
      <c r="J65" s="130">
        <f t="shared" si="126"/>
      </c>
      <c r="K65" s="39">
        <f t="shared" si="127"/>
      </c>
      <c r="L65" s="43">
        <f t="shared" si="128"/>
      </c>
      <c r="M65" s="153">
        <f t="shared" si="129"/>
        <v>0</v>
      </c>
      <c r="N65" s="45"/>
      <c r="O65" s="164" t="s">
        <v>87</v>
      </c>
      <c r="P65" s="165"/>
      <c r="Q65" s="165"/>
      <c r="R65" s="234"/>
      <c r="S65" s="306"/>
      <c r="T65" s="306"/>
      <c r="U65" s="306"/>
      <c r="V65" s="306"/>
      <c r="W65" s="165"/>
      <c r="X65" s="165"/>
      <c r="Y65" s="165"/>
      <c r="Z65" s="268"/>
      <c r="AD65" s="1">
        <v>65</v>
      </c>
      <c r="AE65" s="320">
        <f t="shared" si="63"/>
        <v>2000000</v>
      </c>
      <c r="AF65" s="139"/>
      <c r="AG65" s="38" t="str">
        <f t="shared" si="114"/>
        <v>CHE 244</v>
      </c>
      <c r="AH65" s="333">
        <f t="shared" si="115"/>
        <v>3</v>
      </c>
      <c r="AI65" s="39">
        <f t="shared" si="116"/>
        <v>0</v>
      </c>
      <c r="AJ65" s="294">
        <f t="shared" si="113"/>
      </c>
      <c r="AK65" s="158" t="b">
        <f t="shared" si="117"/>
        <v>0</v>
      </c>
      <c r="AL65" s="320">
        <f t="shared" si="118"/>
        <v>2000000</v>
      </c>
      <c r="AM65" s="139"/>
      <c r="AN65" s="77"/>
      <c r="AO65" s="37" t="b">
        <f t="shared" si="119"/>
        <v>1</v>
      </c>
      <c r="BA65" s="336">
        <f aca="true" ca="1" t="shared" si="141" ref="BA65:BO77">IF($AE65=BA$1,CELL("row",$AE65),"")</f>
      </c>
      <c r="BB65" s="336">
        <f ca="1" t="shared" si="141"/>
      </c>
      <c r="BC65" s="336">
        <f ca="1" t="shared" si="141"/>
      </c>
      <c r="BD65" s="336">
        <f ca="1" t="shared" si="141"/>
      </c>
      <c r="BE65" s="336">
        <f ca="1" t="shared" si="141"/>
      </c>
      <c r="BF65" s="336">
        <f ca="1" t="shared" si="141"/>
      </c>
      <c r="BG65" s="336">
        <f ca="1" t="shared" si="141"/>
      </c>
      <c r="BH65" s="336">
        <f ca="1" t="shared" si="141"/>
      </c>
      <c r="BI65" s="336">
        <f ca="1" t="shared" si="141"/>
      </c>
      <c r="BJ65" s="336">
        <f ca="1" t="shared" si="141"/>
      </c>
      <c r="BK65" s="336">
        <f ca="1" t="shared" si="141"/>
      </c>
      <c r="BL65" s="336">
        <f ca="1" t="shared" si="141"/>
      </c>
      <c r="BM65" s="336">
        <f ca="1" t="shared" si="141"/>
      </c>
      <c r="BN65" s="336">
        <f ca="1" t="shared" si="141"/>
      </c>
      <c r="BO65" s="336">
        <f ca="1" t="shared" si="141"/>
      </c>
      <c r="BQ65" s="178">
        <f t="shared" si="132"/>
        <v>0</v>
      </c>
      <c r="BR65" s="320">
        <f t="shared" si="133"/>
      </c>
      <c r="BS65" s="320">
        <f t="shared" si="134"/>
      </c>
      <c r="BT65" s="153"/>
      <c r="BU65" s="178">
        <f t="shared" si="135"/>
        <v>0</v>
      </c>
      <c r="BV65" s="320">
        <f t="shared" si="136"/>
      </c>
      <c r="BW65" s="320">
        <f t="shared" si="137"/>
      </c>
      <c r="BX65" s="153"/>
      <c r="BY65" s="178">
        <f t="shared" si="138"/>
        <v>0</v>
      </c>
      <c r="BZ65" s="320">
        <f t="shared" si="139"/>
      </c>
      <c r="CA65" s="320">
        <f t="shared" si="140"/>
      </c>
      <c r="CB65" s="153"/>
    </row>
    <row r="66" spans="2:80" ht="13.5" customHeight="1">
      <c r="B66" s="130">
        <f t="shared" si="120"/>
      </c>
      <c r="C66" s="39">
        <f t="shared" si="121"/>
      </c>
      <c r="D66" s="43">
        <f t="shared" si="122"/>
      </c>
      <c r="E66" s="153">
        <f t="shared" si="130"/>
        <v>0</v>
      </c>
      <c r="F66" s="130">
        <f t="shared" si="123"/>
      </c>
      <c r="G66" s="39">
        <f t="shared" si="124"/>
      </c>
      <c r="H66" s="43">
        <f t="shared" si="125"/>
      </c>
      <c r="I66" s="153">
        <f t="shared" si="131"/>
        <v>0</v>
      </c>
      <c r="J66" s="130">
        <f t="shared" si="126"/>
      </c>
      <c r="K66" s="39">
        <f t="shared" si="127"/>
      </c>
      <c r="L66" s="43">
        <f t="shared" si="128"/>
      </c>
      <c r="M66" s="153">
        <f t="shared" si="129"/>
        <v>0</v>
      </c>
      <c r="N66" s="45"/>
      <c r="O66" s="161"/>
      <c r="P66" s="71"/>
      <c r="Q66" s="229"/>
      <c r="R66" s="241" t="s">
        <v>174</v>
      </c>
      <c r="S66" s="236">
        <f>IF(LEFT(Q66,1)="a",4,IF(LEFT(Q66,1)="b",3,IF(LEFT(Q66,1)="c",2,IF(LEFT(Q66,1)="d",1,0))))*X66</f>
        <v>0</v>
      </c>
      <c r="T66" s="236">
        <f t="shared" si="10"/>
      </c>
      <c r="U66" s="236">
        <f t="shared" si="8"/>
        <v>0</v>
      </c>
      <c r="V66" s="236">
        <f t="shared" si="9"/>
      </c>
      <c r="W66" s="162" t="s">
        <v>175</v>
      </c>
      <c r="X66" s="163">
        <v>3</v>
      </c>
      <c r="Y66" s="419" t="s">
        <v>210</v>
      </c>
      <c r="Z66" s="422" t="s">
        <v>308</v>
      </c>
      <c r="AD66" s="1">
        <v>66</v>
      </c>
      <c r="AE66" s="320">
        <f t="shared" si="63"/>
        <v>2000000</v>
      </c>
      <c r="AF66" s="139"/>
      <c r="AG66" s="38">
        <f t="shared" si="114"/>
        <v>0</v>
      </c>
      <c r="AH66" s="333">
        <f t="shared" si="115"/>
        <v>0</v>
      </c>
      <c r="AI66" s="39">
        <f t="shared" si="116"/>
        <v>0</v>
      </c>
      <c r="AJ66" s="294">
        <f t="shared" si="113"/>
      </c>
      <c r="AK66" s="293" t="b">
        <f>IF(X78=0,FALSE,IF(OR(LEFT(Q78,1)="T",S78/X78&gt;=2),TRUE,FALSE))</f>
        <v>0</v>
      </c>
      <c r="AL66" s="332">
        <f t="shared" si="118"/>
        <v>2000000</v>
      </c>
      <c r="AM66" s="139"/>
      <c r="AN66" s="77"/>
      <c r="AO66" s="37" t="b">
        <f t="shared" si="119"/>
        <v>1</v>
      </c>
      <c r="BA66" s="336">
        <f ca="1" t="shared" si="141"/>
      </c>
      <c r="BB66" s="336">
        <f ca="1" t="shared" si="141"/>
      </c>
      <c r="BC66" s="336">
        <f ca="1" t="shared" si="141"/>
      </c>
      <c r="BD66" s="336">
        <f ca="1" t="shared" si="141"/>
      </c>
      <c r="BE66" s="336">
        <f ca="1" t="shared" si="141"/>
      </c>
      <c r="BF66" s="336">
        <f ca="1" t="shared" si="141"/>
      </c>
      <c r="BG66" s="336">
        <f ca="1" t="shared" si="141"/>
      </c>
      <c r="BH66" s="336">
        <f ca="1" t="shared" si="141"/>
      </c>
      <c r="BI66" s="336">
        <f ca="1" t="shared" si="141"/>
      </c>
      <c r="BJ66" s="336">
        <f ca="1" t="shared" si="141"/>
      </c>
      <c r="BK66" s="336">
        <f ca="1" t="shared" si="141"/>
      </c>
      <c r="BL66" s="336">
        <f ca="1" t="shared" si="141"/>
      </c>
      <c r="BM66" s="336">
        <f ca="1" t="shared" si="141"/>
      </c>
      <c r="BN66" s="336">
        <f ca="1" t="shared" si="141"/>
      </c>
      <c r="BO66" s="336">
        <f ca="1" t="shared" si="141"/>
      </c>
      <c r="BQ66" s="178">
        <f t="shared" si="132"/>
        <v>0</v>
      </c>
      <c r="BR66" s="320">
        <f t="shared" si="133"/>
      </c>
      <c r="BS66" s="320">
        <f t="shared" si="134"/>
      </c>
      <c r="BT66" s="153"/>
      <c r="BU66" s="178">
        <f t="shared" si="135"/>
        <v>0</v>
      </c>
      <c r="BV66" s="320">
        <f t="shared" si="136"/>
      </c>
      <c r="BW66" s="320">
        <f t="shared" si="137"/>
      </c>
      <c r="BX66" s="153"/>
      <c r="BY66" s="178">
        <f t="shared" si="138"/>
        <v>0</v>
      </c>
      <c r="BZ66" s="320">
        <f t="shared" si="139"/>
      </c>
      <c r="CA66" s="320">
        <f t="shared" si="140"/>
      </c>
      <c r="CB66" s="153"/>
    </row>
    <row r="67" spans="2:80" ht="13.5" customHeight="1" thickBot="1">
      <c r="B67" s="369">
        <f t="shared" si="120"/>
      </c>
      <c r="C67" s="370">
        <f t="shared" si="121"/>
      </c>
      <c r="D67" s="371">
        <f t="shared" si="122"/>
      </c>
      <c r="E67" s="153">
        <f t="shared" si="130"/>
        <v>0</v>
      </c>
      <c r="F67" s="369">
        <f t="shared" si="123"/>
      </c>
      <c r="G67" s="370">
        <f t="shared" si="124"/>
      </c>
      <c r="H67" s="371">
        <f t="shared" si="125"/>
      </c>
      <c r="I67" s="153">
        <f t="shared" si="131"/>
        <v>0</v>
      </c>
      <c r="J67" s="369">
        <f t="shared" si="126"/>
      </c>
      <c r="K67" s="370">
        <f t="shared" si="127"/>
      </c>
      <c r="L67" s="371">
        <f t="shared" si="128"/>
      </c>
      <c r="M67" s="153">
        <f t="shared" si="129"/>
        <v>0</v>
      </c>
      <c r="N67" s="45"/>
      <c r="O67" s="69"/>
      <c r="P67" s="75"/>
      <c r="Q67" s="97"/>
      <c r="R67" s="238" t="s">
        <v>174</v>
      </c>
      <c r="S67" s="238">
        <f>IF(LEFT(Q67,1)="a",4,IF(LEFT(Q67,1)="b",3,IF(LEFT(Q67,1)="c",2,IF(LEFT(Q67,1)="d",1,0))))*X67</f>
        <v>0</v>
      </c>
      <c r="T67" s="238">
        <f>IF(OR(S67&gt;0,LEFT(Q67,1)="f"),X67,"")</f>
      </c>
      <c r="U67" s="238">
        <f>IF(R67="Y",S67,"")</f>
        <v>0</v>
      </c>
      <c r="V67" s="238">
        <f>IF(AND(R67="Y",T67&gt;0),T67,"")</f>
      </c>
      <c r="W67" s="92" t="s">
        <v>175</v>
      </c>
      <c r="X67" s="269">
        <v>3</v>
      </c>
      <c r="Y67" s="420"/>
      <c r="Z67" s="423"/>
      <c r="AB67" s="41"/>
      <c r="AD67" s="1">
        <v>67</v>
      </c>
      <c r="AE67" s="320">
        <f aca="true" t="shared" si="142" ref="AE67:AE80">IF(AND(AK67,AL67&gt;999999),10101,AL67)</f>
        <v>2000000</v>
      </c>
      <c r="AG67" s="38">
        <f t="shared" si="114"/>
        <v>0</v>
      </c>
      <c r="AH67" s="333">
        <f t="shared" si="115"/>
        <v>0</v>
      </c>
      <c r="AI67" s="39">
        <f t="shared" si="116"/>
        <v>0</v>
      </c>
      <c r="AJ67" s="294">
        <f t="shared" si="113"/>
      </c>
      <c r="AK67" s="293" t="b">
        <f>IF(X79=0,FALSE,IF(OR(LEFT(Q79,1)="T",S79/X79&gt;=2),TRUE,FALSE))</f>
        <v>0</v>
      </c>
      <c r="AL67" s="332">
        <f t="shared" si="118"/>
        <v>2000000</v>
      </c>
      <c r="AM67" s="139"/>
      <c r="AN67" s="77"/>
      <c r="AO67" s="37" t="b">
        <f t="shared" si="119"/>
        <v>1</v>
      </c>
      <c r="BA67" s="336">
        <f ca="1" t="shared" si="141"/>
      </c>
      <c r="BB67" s="336">
        <f ca="1" t="shared" si="141"/>
      </c>
      <c r="BC67" s="336">
        <f ca="1" t="shared" si="141"/>
      </c>
      <c r="BD67" s="336">
        <f ca="1" t="shared" si="141"/>
      </c>
      <c r="BE67" s="336">
        <f ca="1" t="shared" si="141"/>
      </c>
      <c r="BF67" s="336">
        <f ca="1" t="shared" si="141"/>
      </c>
      <c r="BG67" s="336">
        <f ca="1" t="shared" si="141"/>
      </c>
      <c r="BH67" s="336">
        <f ca="1" t="shared" si="141"/>
      </c>
      <c r="BI67" s="336">
        <f ca="1" t="shared" si="141"/>
      </c>
      <c r="BJ67" s="336">
        <f ca="1" t="shared" si="141"/>
      </c>
      <c r="BK67" s="336">
        <f ca="1" t="shared" si="141"/>
      </c>
      <c r="BL67" s="336">
        <f ca="1" t="shared" si="141"/>
      </c>
      <c r="BM67" s="336">
        <f ca="1" t="shared" si="141"/>
      </c>
      <c r="BN67" s="336">
        <f ca="1" t="shared" si="141"/>
      </c>
      <c r="BO67" s="336">
        <f ca="1" t="shared" si="141"/>
      </c>
      <c r="BQ67" s="178">
        <f t="shared" si="132"/>
        <v>0</v>
      </c>
      <c r="BR67" s="320">
        <f t="shared" si="133"/>
      </c>
      <c r="BS67" s="320">
        <f t="shared" si="134"/>
      </c>
      <c r="BT67" s="153"/>
      <c r="BU67" s="178">
        <f t="shared" si="135"/>
        <v>0</v>
      </c>
      <c r="BV67" s="320">
        <f t="shared" si="136"/>
      </c>
      <c r="BW67" s="320">
        <f t="shared" si="137"/>
      </c>
      <c r="BX67" s="153"/>
      <c r="BY67" s="178">
        <f t="shared" si="138"/>
        <v>0</v>
      </c>
      <c r="BZ67" s="320">
        <f t="shared" si="139"/>
      </c>
      <c r="CA67" s="320">
        <f t="shared" si="140"/>
      </c>
      <c r="CB67" s="153"/>
    </row>
    <row r="68" spans="2:80" ht="13.5" customHeight="1" thickBot="1" thickTop="1">
      <c r="B68" s="372">
        <f>IF(BQ69&lt;&gt;0,"Excess "&amp;BQ69,"")</f>
      </c>
      <c r="C68" s="373">
        <f>SUM(C61:C67)</f>
        <v>0</v>
      </c>
      <c r="D68" s="374"/>
      <c r="E68" s="153"/>
      <c r="F68" s="372">
        <f>IF(BU69&lt;&gt;0,"Excess "&amp;BU69,"")</f>
      </c>
      <c r="G68" s="373">
        <f>SUM(G61:G67)</f>
        <v>0</v>
      </c>
      <c r="H68" s="374"/>
      <c r="I68" s="153"/>
      <c r="J68" s="372">
        <f>IF(BY69&lt;&gt;0,"Excess "&amp;BY69,"")</f>
      </c>
      <c r="K68" s="373">
        <f>SUM(K61:K67)</f>
        <v>0</v>
      </c>
      <c r="L68" s="374"/>
      <c r="M68" s="156"/>
      <c r="N68" s="45"/>
      <c r="O68" s="88"/>
      <c r="P68" s="89"/>
      <c r="Q68" s="102"/>
      <c r="R68" s="242" t="s">
        <v>174</v>
      </c>
      <c r="S68" s="237">
        <f>IF(LEFT(Q68,1)="a",4,IF(LEFT(Q68,1)="b",3,IF(LEFT(Q68,1)="c",2,IF(LEFT(Q68,1)="d",1,0))))*X68</f>
        <v>0</v>
      </c>
      <c r="T68" s="237">
        <f>IF(OR(S68&gt;0,LEFT(Q68,1)="f"),X68,"")</f>
      </c>
      <c r="U68" s="237">
        <f>IF(R68="Y",S68,"")</f>
        <v>0</v>
      </c>
      <c r="V68" s="237">
        <f>IF(AND(R68="Y",T68&gt;0),T68,"")</f>
      </c>
      <c r="W68" s="117"/>
      <c r="X68" s="104"/>
      <c r="Y68" s="421"/>
      <c r="Z68" s="424"/>
      <c r="AB68" s="41"/>
      <c r="AD68" s="1">
        <v>68</v>
      </c>
      <c r="AE68" s="320">
        <f t="shared" si="142"/>
        <v>2000000</v>
      </c>
      <c r="AG68" s="38">
        <f t="shared" si="114"/>
        <v>0</v>
      </c>
      <c r="AH68" s="333">
        <f t="shared" si="115"/>
        <v>0</v>
      </c>
      <c r="AI68" s="39">
        <f t="shared" si="116"/>
        <v>0</v>
      </c>
      <c r="AJ68" s="294">
        <f t="shared" si="113"/>
      </c>
      <c r="AK68" s="293" t="b">
        <f>IF(X80=0,FALSE,IF(OR(LEFT(Q80,1)="T",S80/X80&gt;=2),TRUE,FALSE))</f>
        <v>0</v>
      </c>
      <c r="AL68" s="332">
        <f t="shared" si="118"/>
        <v>2000000</v>
      </c>
      <c r="AM68" s="139"/>
      <c r="AN68" s="77"/>
      <c r="AO68" s="37" t="b">
        <f t="shared" si="119"/>
        <v>1</v>
      </c>
      <c r="BA68" s="336">
        <f ca="1" t="shared" si="141"/>
      </c>
      <c r="BB68" s="336">
        <f ca="1" t="shared" si="141"/>
      </c>
      <c r="BC68" s="336">
        <f ca="1" t="shared" si="141"/>
      </c>
      <c r="BD68" s="336">
        <f ca="1" t="shared" si="141"/>
      </c>
      <c r="BE68" s="336">
        <f ca="1" t="shared" si="141"/>
      </c>
      <c r="BF68" s="336">
        <f ca="1" t="shared" si="141"/>
      </c>
      <c r="BG68" s="336">
        <f ca="1" t="shared" si="141"/>
      </c>
      <c r="BH68" s="336">
        <f ca="1" t="shared" si="141"/>
      </c>
      <c r="BI68" s="336">
        <f ca="1" t="shared" si="141"/>
      </c>
      <c r="BJ68" s="336">
        <f ca="1" t="shared" si="141"/>
      </c>
      <c r="BK68" s="336">
        <f ca="1" t="shared" si="141"/>
      </c>
      <c r="BL68" s="336">
        <f ca="1" t="shared" si="141"/>
      </c>
      <c r="BM68" s="336">
        <f ca="1" t="shared" si="141"/>
      </c>
      <c r="BN68" s="336">
        <f ca="1" t="shared" si="141"/>
      </c>
      <c r="BO68" s="336">
        <f ca="1" t="shared" si="141"/>
      </c>
      <c r="BQ68" s="178">
        <f t="shared" si="132"/>
        <v>0</v>
      </c>
      <c r="BR68" s="320">
        <f t="shared" si="133"/>
      </c>
      <c r="BS68" s="320">
        <f t="shared" si="134"/>
      </c>
      <c r="BT68" s="153"/>
      <c r="BU68" s="178">
        <f t="shared" si="135"/>
        <v>0</v>
      </c>
      <c r="BV68" s="320">
        <f t="shared" si="136"/>
      </c>
      <c r="BW68" s="320">
        <f t="shared" si="137"/>
      </c>
      <c r="BX68" s="153"/>
      <c r="BY68" s="178">
        <f t="shared" si="138"/>
        <v>0</v>
      </c>
      <c r="BZ68" s="320">
        <f t="shared" si="139"/>
      </c>
      <c r="CA68" s="320">
        <f t="shared" si="140"/>
      </c>
      <c r="CB68" s="156"/>
    </row>
    <row r="69" spans="2:80" ht="13.5" customHeight="1" thickBot="1">
      <c r="B69" s="138"/>
      <c r="C69" s="152" t="s">
        <v>137</v>
      </c>
      <c r="D69" s="154">
        <f>IF(SUMIF(E61:E67,"&gt;=0",C61:C67)&gt;0,SUM(E61:E67)/SUMIF(E61:E67,"&gt;=0",C61:C67),"")</f>
      </c>
      <c r="E69" s="153"/>
      <c r="F69" s="139"/>
      <c r="G69" s="152" t="s">
        <v>137</v>
      </c>
      <c r="H69" s="154">
        <f>IF(SUMIF(I61:I67,"&gt;=0",G61:G67)&gt;0,SUM(I61:I67)/SUMIF(I61:I67,"&gt;=0",G61:G67),"")</f>
      </c>
      <c r="I69" s="153"/>
      <c r="J69" s="139"/>
      <c r="K69" s="152" t="s">
        <v>137</v>
      </c>
      <c r="L69" s="154">
        <f>IF(SUMIF(M61:M67,"&gt;=0",K61:K67)&gt;0,SUM(M61:M67)/SUMIF(M61:M67,"&gt;=0",K61:K67),"")</f>
      </c>
      <c r="N69" s="45"/>
      <c r="O69" s="149" t="s">
        <v>167</v>
      </c>
      <c r="P69" s="150"/>
      <c r="Q69" s="150"/>
      <c r="R69" s="235"/>
      <c r="S69" s="308"/>
      <c r="T69" s="308"/>
      <c r="U69" s="308"/>
      <c r="V69" s="308"/>
      <c r="W69" s="150"/>
      <c r="X69" s="150"/>
      <c r="Y69" s="150"/>
      <c r="Z69" s="151"/>
      <c r="AB69" s="113"/>
      <c r="AD69" s="1">
        <v>69</v>
      </c>
      <c r="AE69" s="320">
        <f t="shared" si="142"/>
        <v>2000000</v>
      </c>
      <c r="AG69" s="38" t="str">
        <f aca="true" t="shared" si="143" ref="AG69:AG80">W82</f>
        <v>EH 105</v>
      </c>
      <c r="AH69" s="329">
        <f aca="true" t="shared" si="144" ref="AH69:AH80">X82</f>
        <v>3</v>
      </c>
      <c r="AI69" s="330">
        <f aca="true" t="shared" si="145" ref="AI69:AI80">Q82</f>
        <v>0</v>
      </c>
      <c r="AJ69" s="294">
        <f t="shared" si="113"/>
      </c>
      <c r="AK69" s="295" t="b">
        <f aca="true" t="shared" si="146" ref="AK69:AK80">IF(X82=0,FALSE,IF(OR(LEFT(Q82,1)="T",S82/X82&gt;=2),TRUE,FALSE))</f>
        <v>0</v>
      </c>
      <c r="AL69" s="330">
        <f aca="true" t="shared" si="147" ref="AL69:AL80">IF(P82&gt;0,P82*100,1000000)+IF(LEFT(O82,2)="Sp",1,IF(LEFT(O82,2)="Su",5,IF(LEFT(O82,2)="Fa",9,1000000)))</f>
        <v>2000000</v>
      </c>
      <c r="AM69" s="139"/>
      <c r="AN69" s="77"/>
      <c r="AO69" s="37" t="b">
        <f t="shared" si="119"/>
        <v>1</v>
      </c>
      <c r="BA69" s="336">
        <f ca="1" t="shared" si="141"/>
      </c>
      <c r="BB69" s="336">
        <f ca="1" t="shared" si="141"/>
      </c>
      <c r="BC69" s="336">
        <f ca="1" t="shared" si="141"/>
      </c>
      <c r="BD69" s="336">
        <f ca="1" t="shared" si="141"/>
      </c>
      <c r="BE69" s="336">
        <f ca="1" t="shared" si="141"/>
      </c>
      <c r="BF69" s="336">
        <f ca="1" t="shared" si="141"/>
      </c>
      <c r="BG69" s="336">
        <f ca="1" t="shared" si="141"/>
      </c>
      <c r="BH69" s="336">
        <f ca="1" t="shared" si="141"/>
      </c>
      <c r="BI69" s="336">
        <f ca="1" t="shared" si="141"/>
      </c>
      <c r="BJ69" s="336">
        <f ca="1" t="shared" si="141"/>
      </c>
      <c r="BK69" s="336">
        <f ca="1" t="shared" si="141"/>
      </c>
      <c r="BL69" s="336">
        <f ca="1" t="shared" si="141"/>
      </c>
      <c r="BM69" s="336">
        <f ca="1" t="shared" si="141"/>
      </c>
      <c r="BN69" s="336">
        <f ca="1" t="shared" si="141"/>
      </c>
      <c r="BO69" s="336">
        <f ca="1" t="shared" si="141"/>
      </c>
      <c r="BQ69" s="178">
        <f t="shared" si="132"/>
        <v>0</v>
      </c>
      <c r="BR69" s="320">
        <f t="shared" si="133"/>
      </c>
      <c r="BS69" s="320">
        <f t="shared" si="134"/>
      </c>
      <c r="BT69" s="153"/>
      <c r="BU69" s="178">
        <f t="shared" si="135"/>
        <v>0</v>
      </c>
      <c r="BV69" s="320">
        <f t="shared" si="136"/>
      </c>
      <c r="BW69" s="320">
        <f t="shared" si="137"/>
      </c>
      <c r="BX69" s="153"/>
      <c r="BY69" s="178">
        <f t="shared" si="138"/>
        <v>0</v>
      </c>
      <c r="BZ69" s="320">
        <f t="shared" si="139"/>
      </c>
      <c r="CA69" s="320">
        <f t="shared" si="140"/>
      </c>
      <c r="CB69" s="156"/>
    </row>
    <row r="70" spans="2:67" ht="13.5" customHeight="1">
      <c r="B70" s="2"/>
      <c r="I70" s="156"/>
      <c r="N70" s="45"/>
      <c r="O70" s="84"/>
      <c r="P70" s="85"/>
      <c r="Q70" s="95"/>
      <c r="R70" s="236" t="s">
        <v>171</v>
      </c>
      <c r="S70" s="236">
        <f aca="true" t="shared" si="148" ref="S70:S80">IF(LEFT(Q70,1)="a",4,IF(LEFT(Q70,1)="b",3,IF(LEFT(Q70,1)="c",2,IF(LEFT(Q70,1)="d",1,0))))*X70</f>
        <v>0</v>
      </c>
      <c r="T70" s="236">
        <f t="shared" si="10"/>
      </c>
      <c r="U70" s="236">
        <f t="shared" si="8"/>
      </c>
      <c r="V70" s="236">
        <f t="shared" si="9"/>
      </c>
      <c r="W70" s="287" t="s">
        <v>123</v>
      </c>
      <c r="X70" s="56">
        <v>3</v>
      </c>
      <c r="Y70" s="288" t="s">
        <v>145</v>
      </c>
      <c r="Z70" s="289"/>
      <c r="AB70" s="41"/>
      <c r="AD70" s="1">
        <v>70</v>
      </c>
      <c r="AE70" s="320">
        <f t="shared" si="142"/>
        <v>2000000</v>
      </c>
      <c r="AG70" s="38">
        <f t="shared" si="143"/>
        <v>0</v>
      </c>
      <c r="AH70" s="333">
        <f t="shared" si="144"/>
        <v>0</v>
      </c>
      <c r="AI70" s="39">
        <f t="shared" si="145"/>
        <v>0</v>
      </c>
      <c r="AJ70" s="294">
        <f t="shared" si="113"/>
      </c>
      <c r="AK70" s="293" t="b">
        <f t="shared" si="146"/>
        <v>0</v>
      </c>
      <c r="AL70" s="332">
        <f t="shared" si="147"/>
        <v>2000000</v>
      </c>
      <c r="AM70" s="139"/>
      <c r="AN70" s="77"/>
      <c r="AO70" s="37" t="b">
        <f t="shared" si="119"/>
        <v>1</v>
      </c>
      <c r="BA70" s="336">
        <f ca="1" t="shared" si="141"/>
      </c>
      <c r="BB70" s="336">
        <f ca="1" t="shared" si="141"/>
      </c>
      <c r="BC70" s="336">
        <f ca="1" t="shared" si="141"/>
      </c>
      <c r="BD70" s="336">
        <f ca="1" t="shared" si="141"/>
      </c>
      <c r="BE70" s="336">
        <f ca="1" t="shared" si="141"/>
      </c>
      <c r="BF70" s="336">
        <f ca="1" t="shared" si="141"/>
      </c>
      <c r="BG70" s="336">
        <f ca="1" t="shared" si="141"/>
      </c>
      <c r="BH70" s="336">
        <f ca="1" t="shared" si="141"/>
      </c>
      <c r="BI70" s="336">
        <f ca="1" t="shared" si="141"/>
      </c>
      <c r="BJ70" s="336">
        <f ca="1" t="shared" si="141"/>
      </c>
      <c r="BK70" s="336">
        <f ca="1" t="shared" si="141"/>
      </c>
      <c r="BL70" s="336">
        <f ca="1" t="shared" si="141"/>
      </c>
      <c r="BM70" s="336">
        <f ca="1" t="shared" si="141"/>
      </c>
      <c r="BN70" s="336">
        <f ca="1" t="shared" si="141"/>
      </c>
      <c r="BO70" s="336">
        <f ca="1" t="shared" si="141"/>
      </c>
    </row>
    <row r="71" spans="2:67" ht="12.75">
      <c r="B71" s="2"/>
      <c r="I71" s="156"/>
      <c r="N71" s="45"/>
      <c r="O71" s="69"/>
      <c r="P71" s="78"/>
      <c r="Q71" s="97"/>
      <c r="R71" s="238" t="s">
        <v>171</v>
      </c>
      <c r="S71" s="238">
        <f t="shared" si="148"/>
        <v>0</v>
      </c>
      <c r="T71" s="238">
        <f t="shared" si="10"/>
      </c>
      <c r="U71" s="238">
        <f t="shared" si="8"/>
      </c>
      <c r="V71" s="238">
        <f t="shared" si="9"/>
      </c>
      <c r="W71" s="46" t="s">
        <v>124</v>
      </c>
      <c r="X71" s="55">
        <v>3</v>
      </c>
      <c r="Y71" s="59" t="s">
        <v>146</v>
      </c>
      <c r="Z71" s="167"/>
      <c r="AB71" s="41"/>
      <c r="AD71" s="1">
        <v>71</v>
      </c>
      <c r="AE71" s="320">
        <f t="shared" si="142"/>
        <v>2000000</v>
      </c>
      <c r="AG71" s="38">
        <f t="shared" si="143"/>
        <v>0</v>
      </c>
      <c r="AH71" s="333">
        <f t="shared" si="144"/>
        <v>0</v>
      </c>
      <c r="AI71" s="39">
        <f t="shared" si="145"/>
        <v>0</v>
      </c>
      <c r="AJ71" s="294">
        <f t="shared" si="113"/>
      </c>
      <c r="AK71" s="293" t="b">
        <f t="shared" si="146"/>
        <v>0</v>
      </c>
      <c r="AL71" s="332">
        <f t="shared" si="147"/>
        <v>2000000</v>
      </c>
      <c r="AM71" s="139"/>
      <c r="AN71" s="77"/>
      <c r="AO71" s="37" t="b">
        <f t="shared" si="119"/>
        <v>1</v>
      </c>
      <c r="BA71" s="336">
        <f ca="1" t="shared" si="141"/>
      </c>
      <c r="BB71" s="336">
        <f ca="1" t="shared" si="141"/>
      </c>
      <c r="BC71" s="336">
        <f ca="1" t="shared" si="141"/>
      </c>
      <c r="BD71" s="336">
        <f ca="1" t="shared" si="141"/>
      </c>
      <c r="BE71" s="336">
        <f ca="1" t="shared" si="141"/>
      </c>
      <c r="BF71" s="336">
        <f ca="1" t="shared" si="141"/>
      </c>
      <c r="BG71" s="336">
        <f ca="1" t="shared" si="141"/>
      </c>
      <c r="BH71" s="336">
        <f ca="1" t="shared" si="141"/>
      </c>
      <c r="BI71" s="336">
        <f ca="1" t="shared" si="141"/>
      </c>
      <c r="BJ71" s="336">
        <f ca="1" t="shared" si="141"/>
      </c>
      <c r="BK71" s="336">
        <f ca="1" t="shared" si="141"/>
      </c>
      <c r="BL71" s="336">
        <f ca="1" t="shared" si="141"/>
      </c>
      <c r="BM71" s="336">
        <f ca="1" t="shared" si="141"/>
      </c>
      <c r="BN71" s="336">
        <f ca="1" t="shared" si="141"/>
      </c>
      <c r="BO71" s="336">
        <f ca="1" t="shared" si="141"/>
      </c>
    </row>
    <row r="72" spans="14:67" ht="12.75">
      <c r="N72" s="45"/>
      <c r="O72" s="69"/>
      <c r="P72" s="78"/>
      <c r="Q72" s="97"/>
      <c r="R72" s="238" t="s">
        <v>171</v>
      </c>
      <c r="S72" s="238">
        <f t="shared" si="148"/>
        <v>0</v>
      </c>
      <c r="T72" s="238">
        <f t="shared" si="10"/>
      </c>
      <c r="U72" s="238">
        <f t="shared" si="8"/>
      </c>
      <c r="V72" s="238">
        <f t="shared" si="9"/>
      </c>
      <c r="W72" s="46" t="s">
        <v>125</v>
      </c>
      <c r="X72" s="55">
        <v>4</v>
      </c>
      <c r="Y72" s="59" t="s">
        <v>126</v>
      </c>
      <c r="Z72" s="167"/>
      <c r="AD72" s="1">
        <v>72</v>
      </c>
      <c r="AE72" s="320">
        <f t="shared" si="142"/>
        <v>2000000</v>
      </c>
      <c r="AG72" s="38">
        <f t="shared" si="143"/>
        <v>0</v>
      </c>
      <c r="AH72" s="333">
        <f t="shared" si="144"/>
        <v>0</v>
      </c>
      <c r="AI72" s="39">
        <f t="shared" si="145"/>
        <v>0</v>
      </c>
      <c r="AJ72" s="294">
        <f t="shared" si="113"/>
      </c>
      <c r="AK72" s="293" t="b">
        <f t="shared" si="146"/>
        <v>0</v>
      </c>
      <c r="AL72" s="332">
        <f t="shared" si="147"/>
        <v>2000000</v>
      </c>
      <c r="AM72" s="139"/>
      <c r="AN72" s="77"/>
      <c r="AO72" s="37" t="b">
        <f t="shared" si="119"/>
        <v>1</v>
      </c>
      <c r="BA72" s="336">
        <f ca="1" t="shared" si="141"/>
      </c>
      <c r="BB72" s="336">
        <f ca="1" t="shared" si="141"/>
      </c>
      <c r="BC72" s="336">
        <f ca="1" t="shared" si="141"/>
      </c>
      <c r="BD72" s="336">
        <f ca="1" t="shared" si="141"/>
      </c>
      <c r="BE72" s="336">
        <f ca="1" t="shared" si="141"/>
      </c>
      <c r="BF72" s="336">
        <f ca="1" t="shared" si="141"/>
      </c>
      <c r="BG72" s="336">
        <f ca="1" t="shared" si="141"/>
      </c>
      <c r="BH72" s="336">
        <f ca="1" t="shared" si="141"/>
      </c>
      <c r="BI72" s="336">
        <f ca="1" t="shared" si="141"/>
      </c>
      <c r="BJ72" s="336">
        <f ca="1" t="shared" si="141"/>
      </c>
      <c r="BK72" s="336">
        <f ca="1" t="shared" si="141"/>
      </c>
      <c r="BL72" s="336">
        <f ca="1" t="shared" si="141"/>
      </c>
      <c r="BM72" s="336">
        <f ca="1" t="shared" si="141"/>
      </c>
      <c r="BN72" s="336">
        <f ca="1" t="shared" si="141"/>
      </c>
      <c r="BO72" s="336">
        <f ca="1" t="shared" si="141"/>
      </c>
    </row>
    <row r="73" spans="2:67" ht="12.75">
      <c r="B73" s="5"/>
      <c r="C73" s="5"/>
      <c r="D73" s="5"/>
      <c r="E73" s="5"/>
      <c r="G73" s="41"/>
      <c r="H73" s="5"/>
      <c r="I73" s="5"/>
      <c r="J73" s="5"/>
      <c r="N73" s="45"/>
      <c r="O73" s="69"/>
      <c r="P73" s="78"/>
      <c r="Q73" s="97"/>
      <c r="R73" s="238" t="s">
        <v>171</v>
      </c>
      <c r="S73" s="238">
        <f t="shared" si="148"/>
        <v>0</v>
      </c>
      <c r="T73" s="238">
        <f t="shared" si="10"/>
      </c>
      <c r="U73" s="238">
        <f t="shared" si="8"/>
      </c>
      <c r="V73" s="238">
        <f t="shared" si="9"/>
      </c>
      <c r="W73" s="46" t="s">
        <v>121</v>
      </c>
      <c r="X73" s="55">
        <v>3</v>
      </c>
      <c r="Y73" s="59" t="s">
        <v>122</v>
      </c>
      <c r="Z73" s="425" t="s">
        <v>130</v>
      </c>
      <c r="AD73" s="1">
        <v>73</v>
      </c>
      <c r="AE73" s="320">
        <f t="shared" si="142"/>
        <v>2000000</v>
      </c>
      <c r="AG73" s="38">
        <f t="shared" si="143"/>
        <v>0</v>
      </c>
      <c r="AH73" s="333">
        <f t="shared" si="144"/>
        <v>0</v>
      </c>
      <c r="AI73" s="39">
        <f t="shared" si="145"/>
        <v>0</v>
      </c>
      <c r="AJ73" s="294">
        <f t="shared" si="113"/>
      </c>
      <c r="AK73" s="293" t="b">
        <f t="shared" si="146"/>
        <v>0</v>
      </c>
      <c r="AL73" s="332">
        <f t="shared" si="147"/>
        <v>2000000</v>
      </c>
      <c r="AM73" s="139"/>
      <c r="AN73" s="77"/>
      <c r="AO73" s="37" t="b">
        <f t="shared" si="119"/>
        <v>1</v>
      </c>
      <c r="BA73" s="336">
        <f ca="1" t="shared" si="141"/>
      </c>
      <c r="BB73" s="336">
        <f ca="1" t="shared" si="141"/>
      </c>
      <c r="BC73" s="336">
        <f ca="1" t="shared" si="141"/>
      </c>
      <c r="BD73" s="336">
        <f ca="1" t="shared" si="141"/>
      </c>
      <c r="BE73" s="336">
        <f ca="1" t="shared" si="141"/>
      </c>
      <c r="BF73" s="336">
        <f ca="1" t="shared" si="141"/>
      </c>
      <c r="BG73" s="336">
        <f ca="1" t="shared" si="141"/>
      </c>
      <c r="BH73" s="336">
        <f ca="1" t="shared" si="141"/>
      </c>
      <c r="BI73" s="336">
        <f ca="1" t="shared" si="141"/>
      </c>
      <c r="BJ73" s="336">
        <f ca="1" t="shared" si="141"/>
      </c>
      <c r="BK73" s="336">
        <f ca="1" t="shared" si="141"/>
      </c>
      <c r="BL73" s="336">
        <f ca="1" t="shared" si="141"/>
      </c>
      <c r="BM73" s="336">
        <f ca="1" t="shared" si="141"/>
      </c>
      <c r="BN73" s="336">
        <f ca="1" t="shared" si="141"/>
      </c>
      <c r="BO73" s="336">
        <f ca="1" t="shared" si="141"/>
      </c>
    </row>
    <row r="74" spans="2:67" ht="12.75">
      <c r="B74" s="60" t="s">
        <v>74</v>
      </c>
      <c r="C74" s="61"/>
      <c r="D74" s="61"/>
      <c r="E74" s="61"/>
      <c r="F74" s="61" t="s">
        <v>76</v>
      </c>
      <c r="G74" s="267"/>
      <c r="H74" s="60" t="s">
        <v>75</v>
      </c>
      <c r="I74" s="61"/>
      <c r="J74" s="61"/>
      <c r="K74" s="61"/>
      <c r="L74" s="61" t="s">
        <v>76</v>
      </c>
      <c r="N74" s="45"/>
      <c r="O74" s="69"/>
      <c r="P74" s="78"/>
      <c r="Q74" s="97"/>
      <c r="R74" s="238" t="s">
        <v>171</v>
      </c>
      <c r="S74" s="238">
        <f t="shared" si="148"/>
        <v>0</v>
      </c>
      <c r="T74" s="238">
        <f t="shared" si="10"/>
      </c>
      <c r="U74" s="238">
        <f t="shared" si="8"/>
      </c>
      <c r="V74" s="238">
        <f t="shared" si="9"/>
      </c>
      <c r="W74" s="46" t="s">
        <v>128</v>
      </c>
      <c r="X74" s="55">
        <v>1</v>
      </c>
      <c r="Y74" s="59" t="s">
        <v>129</v>
      </c>
      <c r="Z74" s="425"/>
      <c r="AD74" s="1">
        <v>74</v>
      </c>
      <c r="AE74" s="320">
        <f t="shared" si="142"/>
        <v>2000000</v>
      </c>
      <c r="AG74" s="38">
        <f t="shared" si="143"/>
        <v>0</v>
      </c>
      <c r="AH74" s="333">
        <f t="shared" si="144"/>
        <v>0</v>
      </c>
      <c r="AI74" s="39">
        <f t="shared" si="145"/>
        <v>0</v>
      </c>
      <c r="AJ74" s="294">
        <f t="shared" si="113"/>
      </c>
      <c r="AK74" s="293" t="b">
        <f t="shared" si="146"/>
        <v>0</v>
      </c>
      <c r="AL74" s="332">
        <f t="shared" si="147"/>
        <v>2000000</v>
      </c>
      <c r="AM74" s="139"/>
      <c r="AN74" s="77"/>
      <c r="AO74" s="37" t="b">
        <f t="shared" si="119"/>
        <v>1</v>
      </c>
      <c r="BA74" s="336">
        <f ca="1" t="shared" si="141"/>
      </c>
      <c r="BB74" s="336">
        <f ca="1" t="shared" si="141"/>
      </c>
      <c r="BC74" s="336">
        <f ca="1" t="shared" si="141"/>
      </c>
      <c r="BD74" s="336">
        <f ca="1" t="shared" si="141"/>
      </c>
      <c r="BE74" s="336">
        <f ca="1" t="shared" si="141"/>
      </c>
      <c r="BF74" s="336">
        <f ca="1" t="shared" si="141"/>
      </c>
      <c r="BG74" s="336">
        <f ca="1" t="shared" si="141"/>
      </c>
      <c r="BH74" s="336">
        <f ca="1" t="shared" si="141"/>
      </c>
      <c r="BI74" s="336">
        <f ca="1" t="shared" si="141"/>
      </c>
      <c r="BJ74" s="336">
        <f ca="1" t="shared" si="141"/>
      </c>
      <c r="BK74" s="336">
        <f ca="1" t="shared" si="141"/>
      </c>
      <c r="BL74" s="336">
        <f ca="1" t="shared" si="141"/>
      </c>
      <c r="BM74" s="336">
        <f ca="1" t="shared" si="141"/>
      </c>
      <c r="BN74" s="336">
        <f ca="1" t="shared" si="141"/>
      </c>
      <c r="BO74" s="336">
        <f ca="1" t="shared" si="141"/>
      </c>
    </row>
    <row r="75" spans="14:67" ht="12.75">
      <c r="N75" s="45"/>
      <c r="O75" s="69"/>
      <c r="P75" s="78"/>
      <c r="Q75" s="97"/>
      <c r="R75" s="238" t="s">
        <v>171</v>
      </c>
      <c r="S75" s="238">
        <f t="shared" si="148"/>
        <v>0</v>
      </c>
      <c r="T75" s="238">
        <f t="shared" si="10"/>
      </c>
      <c r="U75" s="238">
        <f t="shared" si="8"/>
      </c>
      <c r="V75" s="238">
        <f t="shared" si="9"/>
      </c>
      <c r="W75" s="46" t="s">
        <v>114</v>
      </c>
      <c r="X75" s="55">
        <v>3</v>
      </c>
      <c r="Y75" s="58" t="s">
        <v>115</v>
      </c>
      <c r="Z75" s="425"/>
      <c r="AD75" s="1">
        <v>75</v>
      </c>
      <c r="AE75" s="320">
        <f t="shared" si="142"/>
        <v>2000000</v>
      </c>
      <c r="AG75" s="38">
        <f t="shared" si="143"/>
        <v>0</v>
      </c>
      <c r="AH75" s="333">
        <f t="shared" si="144"/>
        <v>0</v>
      </c>
      <c r="AI75" s="39">
        <f t="shared" si="145"/>
        <v>0</v>
      </c>
      <c r="AJ75" s="294">
        <f t="shared" si="113"/>
      </c>
      <c r="AK75" s="293" t="b">
        <f t="shared" si="146"/>
        <v>0</v>
      </c>
      <c r="AL75" s="332">
        <f t="shared" si="147"/>
        <v>2000000</v>
      </c>
      <c r="AM75" s="139"/>
      <c r="AN75" s="77"/>
      <c r="AO75" s="37" t="b">
        <f t="shared" si="119"/>
        <v>1</v>
      </c>
      <c r="BA75" s="336">
        <f ca="1" t="shared" si="141"/>
      </c>
      <c r="BB75" s="336">
        <f ca="1" t="shared" si="141"/>
      </c>
      <c r="BC75" s="336">
        <f ca="1" t="shared" si="141"/>
      </c>
      <c r="BD75" s="336">
        <f ca="1" t="shared" si="141"/>
      </c>
      <c r="BE75" s="336">
        <f ca="1" t="shared" si="141"/>
      </c>
      <c r="BF75" s="336">
        <f ca="1" t="shared" si="141"/>
      </c>
      <c r="BG75" s="336">
        <f ca="1" t="shared" si="141"/>
      </c>
      <c r="BH75" s="336">
        <f ca="1" t="shared" si="141"/>
      </c>
      <c r="BI75" s="336">
        <f ca="1" t="shared" si="141"/>
      </c>
      <c r="BJ75" s="336">
        <f ca="1" t="shared" si="141"/>
      </c>
      <c r="BK75" s="336">
        <f ca="1" t="shared" si="141"/>
      </c>
      <c r="BL75" s="336">
        <f ca="1" t="shared" si="141"/>
      </c>
      <c r="BM75" s="336">
        <f ca="1" t="shared" si="141"/>
      </c>
      <c r="BN75" s="336">
        <f ca="1" t="shared" si="141"/>
      </c>
      <c r="BO75" s="336">
        <f ca="1" t="shared" si="141"/>
      </c>
    </row>
    <row r="76" spans="2:67" ht="12.75" customHeight="1">
      <c r="B76" s="393" t="s">
        <v>189</v>
      </c>
      <c r="C76" s="393"/>
      <c r="D76" s="393"/>
      <c r="E76" s="393"/>
      <c r="F76" s="393"/>
      <c r="G76" s="393"/>
      <c r="H76" s="393"/>
      <c r="I76" s="393"/>
      <c r="J76" s="393"/>
      <c r="K76" s="393"/>
      <c r="L76" s="393"/>
      <c r="N76" s="45"/>
      <c r="O76" s="69"/>
      <c r="P76" s="78"/>
      <c r="Q76" s="97"/>
      <c r="R76" s="238" t="s">
        <v>171</v>
      </c>
      <c r="S76" s="238">
        <f t="shared" si="148"/>
        <v>0</v>
      </c>
      <c r="T76" s="238">
        <f>IF(OR(S76&gt;0,LEFT(Q76,1)="f"),X76,"")</f>
      </c>
      <c r="U76" s="238">
        <f aca="true" t="shared" si="149" ref="U76:U93">IF(R76="Y",S76,"")</f>
      </c>
      <c r="V76" s="238">
        <f aca="true" t="shared" si="150" ref="V76:V93">IF(AND(R76="Y",T76&gt;0),T76,"")</f>
      </c>
      <c r="W76" s="46" t="s">
        <v>116</v>
      </c>
      <c r="X76" s="55">
        <v>3</v>
      </c>
      <c r="Y76" s="58" t="s">
        <v>117</v>
      </c>
      <c r="Z76" s="167"/>
      <c r="AD76" s="1">
        <v>76</v>
      </c>
      <c r="AE76" s="320">
        <f t="shared" si="142"/>
        <v>2000000</v>
      </c>
      <c r="AG76" s="38">
        <f t="shared" si="143"/>
        <v>0</v>
      </c>
      <c r="AH76" s="333">
        <f t="shared" si="144"/>
        <v>0</v>
      </c>
      <c r="AI76" s="39">
        <f t="shared" si="145"/>
        <v>0</v>
      </c>
      <c r="AJ76" s="294">
        <f t="shared" si="113"/>
      </c>
      <c r="AK76" s="293" t="b">
        <f t="shared" si="146"/>
        <v>0</v>
      </c>
      <c r="AL76" s="332">
        <f t="shared" si="147"/>
        <v>2000000</v>
      </c>
      <c r="AM76" s="139"/>
      <c r="AN76" s="77"/>
      <c r="AO76" s="37" t="b">
        <f t="shared" si="119"/>
        <v>1</v>
      </c>
      <c r="BA76" s="336">
        <f ca="1" t="shared" si="141"/>
      </c>
      <c r="BB76" s="336">
        <f ca="1" t="shared" si="141"/>
      </c>
      <c r="BC76" s="336">
        <f ca="1" t="shared" si="141"/>
      </c>
      <c r="BD76" s="336">
        <f ca="1" t="shared" si="141"/>
      </c>
      <c r="BE76" s="336">
        <f ca="1" t="shared" si="141"/>
      </c>
      <c r="BF76" s="336">
        <f ca="1" t="shared" si="141"/>
      </c>
      <c r="BG76" s="336">
        <f ca="1" t="shared" si="141"/>
      </c>
      <c r="BH76" s="336">
        <f ca="1" t="shared" si="141"/>
      </c>
      <c r="BI76" s="336">
        <f ca="1" t="shared" si="141"/>
      </c>
      <c r="BJ76" s="336">
        <f ca="1" t="shared" si="141"/>
      </c>
      <c r="BK76" s="336">
        <f ca="1" t="shared" si="141"/>
      </c>
      <c r="BL76" s="336">
        <f ca="1" t="shared" si="141"/>
      </c>
      <c r="BM76" s="336">
        <f ca="1" t="shared" si="141"/>
      </c>
      <c r="BN76" s="336">
        <f ca="1" t="shared" si="141"/>
      </c>
      <c r="BO76" s="336">
        <f ca="1" t="shared" si="141"/>
      </c>
    </row>
    <row r="77" spans="2:67" ht="12.75" customHeight="1">
      <c r="B77" s="393"/>
      <c r="C77" s="393"/>
      <c r="D77" s="393"/>
      <c r="E77" s="393"/>
      <c r="F77" s="393"/>
      <c r="G77" s="393"/>
      <c r="H77" s="393"/>
      <c r="I77" s="393"/>
      <c r="J77" s="393"/>
      <c r="K77" s="393"/>
      <c r="L77" s="393"/>
      <c r="N77" s="45"/>
      <c r="O77" s="69"/>
      <c r="P77" s="78"/>
      <c r="Q77" s="97"/>
      <c r="R77" s="238" t="s">
        <v>171</v>
      </c>
      <c r="S77" s="238">
        <f t="shared" si="148"/>
        <v>0</v>
      </c>
      <c r="T77" s="238">
        <f>IF(OR(S77&gt;0,LEFT(Q77,1)="f"),X77,"")</f>
      </c>
      <c r="U77" s="238">
        <f t="shared" si="149"/>
      </c>
      <c r="V77" s="238">
        <f t="shared" si="150"/>
      </c>
      <c r="W77" s="46" t="s">
        <v>118</v>
      </c>
      <c r="X77" s="55">
        <v>3</v>
      </c>
      <c r="Y77" s="58" t="s">
        <v>119</v>
      </c>
      <c r="Z77" s="167"/>
      <c r="AD77" s="1">
        <v>77</v>
      </c>
      <c r="AE77" s="320">
        <f t="shared" si="142"/>
        <v>2000000</v>
      </c>
      <c r="AG77" s="38">
        <f t="shared" si="143"/>
        <v>0</v>
      </c>
      <c r="AH77" s="333">
        <f t="shared" si="144"/>
        <v>0</v>
      </c>
      <c r="AI77" s="39">
        <f t="shared" si="145"/>
        <v>0</v>
      </c>
      <c r="AJ77" s="294">
        <f t="shared" si="113"/>
      </c>
      <c r="AK77" s="293" t="b">
        <f t="shared" si="146"/>
        <v>0</v>
      </c>
      <c r="AL77" s="332">
        <f t="shared" si="147"/>
        <v>2000000</v>
      </c>
      <c r="AM77" s="139"/>
      <c r="AN77" s="77"/>
      <c r="AO77" s="37" t="b">
        <f t="shared" si="119"/>
        <v>1</v>
      </c>
      <c r="BA77" s="336">
        <f ca="1" t="shared" si="141"/>
      </c>
      <c r="BB77" s="336">
        <f ca="1" t="shared" si="141"/>
      </c>
      <c r="BC77" s="336">
        <f ca="1" t="shared" si="141"/>
      </c>
      <c r="BD77" s="336">
        <f ca="1" t="shared" si="141"/>
      </c>
      <c r="BE77" s="336">
        <f ca="1" t="shared" si="141"/>
      </c>
      <c r="BF77" s="336">
        <f ca="1" t="shared" si="141"/>
      </c>
      <c r="BG77" s="336">
        <f ca="1" t="shared" si="141"/>
      </c>
      <c r="BH77" s="336">
        <f ca="1" t="shared" si="141"/>
      </c>
      <c r="BI77" s="336">
        <f ca="1" t="shared" si="141"/>
      </c>
      <c r="BJ77" s="336">
        <f ca="1" t="shared" si="141"/>
      </c>
      <c r="BK77" s="336">
        <f ca="1" t="shared" si="141"/>
      </c>
      <c r="BL77" s="336">
        <f ca="1" t="shared" si="141"/>
      </c>
      <c r="BM77" s="336">
        <f ca="1" t="shared" si="141"/>
      </c>
      <c r="BN77" s="336">
        <f ca="1" t="shared" si="141"/>
      </c>
      <c r="BO77" s="336">
        <f ca="1" t="shared" si="141"/>
      </c>
    </row>
    <row r="78" spans="2:67" ht="12.75">
      <c r="B78" s="393"/>
      <c r="C78" s="393"/>
      <c r="D78" s="393"/>
      <c r="E78" s="393"/>
      <c r="F78" s="393"/>
      <c r="G78" s="393"/>
      <c r="H78" s="393"/>
      <c r="I78" s="393"/>
      <c r="J78" s="393"/>
      <c r="K78" s="393"/>
      <c r="L78" s="393"/>
      <c r="N78" s="45"/>
      <c r="O78" s="69"/>
      <c r="P78" s="78"/>
      <c r="Q78" s="97"/>
      <c r="R78" s="97"/>
      <c r="S78" s="238">
        <f t="shared" si="148"/>
        <v>0</v>
      </c>
      <c r="T78" s="238">
        <f>IF(OR(S78&gt;0,LEFT(Q78,1)="f"),X78,"")</f>
      </c>
      <c r="U78" s="238">
        <f t="shared" si="149"/>
      </c>
      <c r="V78" s="238">
        <f t="shared" si="150"/>
      </c>
      <c r="W78" s="76"/>
      <c r="X78" s="77"/>
      <c r="Y78" s="173"/>
      <c r="Z78" s="167"/>
      <c r="AD78" s="1">
        <v>78</v>
      </c>
      <c r="AE78" s="320">
        <f t="shared" si="142"/>
        <v>2000000</v>
      </c>
      <c r="AG78" s="38">
        <f t="shared" si="143"/>
        <v>0</v>
      </c>
      <c r="AH78" s="333">
        <f t="shared" si="144"/>
        <v>0</v>
      </c>
      <c r="AI78" s="39">
        <f t="shared" si="145"/>
        <v>0</v>
      </c>
      <c r="AJ78" s="294">
        <f t="shared" si="113"/>
      </c>
      <c r="AK78" s="293" t="b">
        <f t="shared" si="146"/>
        <v>0</v>
      </c>
      <c r="AL78" s="332">
        <f t="shared" si="147"/>
        <v>2000000</v>
      </c>
      <c r="AM78" s="139"/>
      <c r="AN78" s="77"/>
      <c r="AO78" s="37" t="b">
        <f t="shared" si="119"/>
        <v>1</v>
      </c>
      <c r="BA78" s="336">
        <f aca="true" ca="1" t="shared" si="151" ref="BA78:BO80">IF($AE78=BA$1,CELL("row",$AE78),"")</f>
      </c>
      <c r="BB78" s="336">
        <f ca="1" t="shared" si="151"/>
      </c>
      <c r="BC78" s="336">
        <f ca="1" t="shared" si="151"/>
      </c>
      <c r="BD78" s="336">
        <f ca="1" t="shared" si="151"/>
      </c>
      <c r="BE78" s="336">
        <f ca="1" t="shared" si="151"/>
      </c>
      <c r="BF78" s="336">
        <f ca="1" t="shared" si="151"/>
      </c>
      <c r="BG78" s="336">
        <f ca="1" t="shared" si="151"/>
      </c>
      <c r="BH78" s="336">
        <f ca="1" t="shared" si="151"/>
      </c>
      <c r="BI78" s="336">
        <f ca="1" t="shared" si="151"/>
      </c>
      <c r="BJ78" s="336">
        <f ca="1" t="shared" si="151"/>
      </c>
      <c r="BK78" s="336">
        <f ca="1" t="shared" si="151"/>
      </c>
      <c r="BL78" s="336">
        <f ca="1" t="shared" si="151"/>
      </c>
      <c r="BM78" s="336">
        <f ca="1" t="shared" si="151"/>
      </c>
      <c r="BN78" s="336">
        <f ca="1" t="shared" si="151"/>
      </c>
      <c r="BO78" s="336">
        <f ca="1" t="shared" si="151"/>
      </c>
    </row>
    <row r="79" spans="2:67" ht="12.75">
      <c r="B79" s="393"/>
      <c r="C79" s="393"/>
      <c r="D79" s="393"/>
      <c r="E79" s="393"/>
      <c r="F79" s="393"/>
      <c r="G79" s="393"/>
      <c r="H79" s="393"/>
      <c r="I79" s="393"/>
      <c r="J79" s="393"/>
      <c r="K79" s="393"/>
      <c r="L79" s="393"/>
      <c r="N79" s="45"/>
      <c r="O79" s="69"/>
      <c r="P79" s="78"/>
      <c r="Q79" s="97"/>
      <c r="R79" s="97"/>
      <c r="S79" s="238">
        <f t="shared" si="148"/>
        <v>0</v>
      </c>
      <c r="T79" s="238">
        <f>IF(OR(S79&gt;0,LEFT(Q79,1)="f"),X79,"")</f>
      </c>
      <c r="U79" s="238">
        <f t="shared" si="149"/>
      </c>
      <c r="V79" s="238">
        <f t="shared" si="150"/>
      </c>
      <c r="W79" s="76"/>
      <c r="X79" s="77"/>
      <c r="Y79" s="173"/>
      <c r="Z79" s="167"/>
      <c r="AD79" s="1">
        <v>79</v>
      </c>
      <c r="AE79" s="320">
        <f t="shared" si="142"/>
        <v>2000000</v>
      </c>
      <c r="AG79" s="38">
        <f t="shared" si="143"/>
        <v>0</v>
      </c>
      <c r="AH79" s="333">
        <f t="shared" si="144"/>
        <v>0</v>
      </c>
      <c r="AI79" s="39">
        <f t="shared" si="145"/>
        <v>0</v>
      </c>
      <c r="AJ79" s="294">
        <f t="shared" si="113"/>
      </c>
      <c r="AK79" s="293" t="b">
        <f t="shared" si="146"/>
        <v>0</v>
      </c>
      <c r="AL79" s="332">
        <f t="shared" si="147"/>
        <v>2000000</v>
      </c>
      <c r="AM79" s="36"/>
      <c r="AN79" s="77"/>
      <c r="AO79" s="37" t="b">
        <f t="shared" si="119"/>
        <v>1</v>
      </c>
      <c r="BA79" s="336">
        <f ca="1" t="shared" si="151"/>
      </c>
      <c r="BB79" s="336">
        <f ca="1" t="shared" si="151"/>
      </c>
      <c r="BC79" s="336">
        <f ca="1" t="shared" si="151"/>
      </c>
      <c r="BD79" s="336">
        <f ca="1" t="shared" si="151"/>
      </c>
      <c r="BE79" s="336">
        <f ca="1" t="shared" si="151"/>
      </c>
      <c r="BF79" s="336">
        <f ca="1" t="shared" si="151"/>
      </c>
      <c r="BG79" s="336">
        <f ca="1" t="shared" si="151"/>
      </c>
      <c r="BH79" s="336">
        <f ca="1" t="shared" si="151"/>
      </c>
      <c r="BI79" s="336">
        <f ca="1" t="shared" si="151"/>
      </c>
      <c r="BJ79" s="336">
        <f ca="1" t="shared" si="151"/>
      </c>
      <c r="BK79" s="336">
        <f ca="1" t="shared" si="151"/>
      </c>
      <c r="BL79" s="336">
        <f ca="1" t="shared" si="151"/>
      </c>
      <c r="BM79" s="336">
        <f ca="1" t="shared" si="151"/>
      </c>
      <c r="BN79" s="336">
        <f ca="1" t="shared" si="151"/>
      </c>
      <c r="BO79" s="336">
        <f ca="1" t="shared" si="151"/>
      </c>
    </row>
    <row r="80" spans="2:67" ht="12.75" customHeight="1" thickBot="1">
      <c r="B80" s="393"/>
      <c r="C80" s="393"/>
      <c r="D80" s="393"/>
      <c r="E80" s="393"/>
      <c r="F80" s="393"/>
      <c r="G80" s="393"/>
      <c r="H80" s="393"/>
      <c r="I80" s="393"/>
      <c r="J80" s="393"/>
      <c r="K80" s="393"/>
      <c r="L80" s="393"/>
      <c r="N80" s="45"/>
      <c r="O80" s="79"/>
      <c r="P80" s="80"/>
      <c r="Q80" s="96"/>
      <c r="R80" s="96"/>
      <c r="S80" s="237">
        <f t="shared" si="148"/>
        <v>0</v>
      </c>
      <c r="T80" s="237">
        <f>IF(OR(S80&gt;0,LEFT(Q80,1)="f"),X80,"")</f>
      </c>
      <c r="U80" s="237">
        <f t="shared" si="149"/>
      </c>
      <c r="V80" s="237">
        <f t="shared" si="150"/>
      </c>
      <c r="W80" s="116"/>
      <c r="X80" s="82"/>
      <c r="Y80" s="87"/>
      <c r="Z80" s="168"/>
      <c r="AD80" s="1">
        <v>80</v>
      </c>
      <c r="AE80" s="320">
        <f t="shared" si="142"/>
        <v>2000000</v>
      </c>
      <c r="AG80" s="38">
        <f t="shared" si="143"/>
        <v>0</v>
      </c>
      <c r="AH80" s="333">
        <f t="shared" si="144"/>
        <v>0</v>
      </c>
      <c r="AI80" s="39">
        <f t="shared" si="145"/>
        <v>0</v>
      </c>
      <c r="AJ80" s="294">
        <f t="shared" si="113"/>
      </c>
      <c r="AK80" s="293" t="b">
        <f t="shared" si="146"/>
        <v>0</v>
      </c>
      <c r="AL80" s="332">
        <f t="shared" si="147"/>
        <v>2000000</v>
      </c>
      <c r="AM80" s="36"/>
      <c r="AN80" s="77"/>
      <c r="AO80" s="37" t="b">
        <f t="shared" si="119"/>
        <v>1</v>
      </c>
      <c r="BA80" s="336">
        <f ca="1" t="shared" si="151"/>
      </c>
      <c r="BB80" s="336">
        <f ca="1" t="shared" si="151"/>
      </c>
      <c r="BC80" s="336">
        <f ca="1" t="shared" si="151"/>
      </c>
      <c r="BD80" s="336">
        <f ca="1" t="shared" si="151"/>
      </c>
      <c r="BE80" s="336">
        <f ca="1" t="shared" si="151"/>
      </c>
      <c r="BF80" s="336">
        <f ca="1" t="shared" si="151"/>
      </c>
      <c r="BG80" s="336">
        <f ca="1" t="shared" si="151"/>
      </c>
      <c r="BH80" s="336">
        <f ca="1" t="shared" si="151"/>
      </c>
      <c r="BI80" s="336">
        <f ca="1" t="shared" si="151"/>
      </c>
      <c r="BJ80" s="336">
        <f ca="1" t="shared" si="151"/>
      </c>
      <c r="BK80" s="336">
        <f ca="1" t="shared" si="151"/>
      </c>
      <c r="BL80" s="336">
        <f ca="1" t="shared" si="151"/>
      </c>
      <c r="BM80" s="336">
        <f ca="1" t="shared" si="151"/>
      </c>
      <c r="BN80" s="336">
        <f ca="1" t="shared" si="151"/>
      </c>
      <c r="BO80" s="336">
        <f ca="1" t="shared" si="151"/>
      </c>
    </row>
    <row r="81" spans="2:67" ht="12.75" customHeight="1" thickBot="1">
      <c r="B81" s="393"/>
      <c r="C81" s="393"/>
      <c r="D81" s="393"/>
      <c r="E81" s="393"/>
      <c r="F81" s="393"/>
      <c r="G81" s="393"/>
      <c r="H81" s="393"/>
      <c r="I81" s="393"/>
      <c r="J81" s="393"/>
      <c r="K81" s="393"/>
      <c r="L81" s="393"/>
      <c r="N81" s="45"/>
      <c r="O81" s="143" t="s">
        <v>195</v>
      </c>
      <c r="P81" s="144"/>
      <c r="Q81" s="144"/>
      <c r="R81" s="232"/>
      <c r="S81" s="305"/>
      <c r="T81" s="305"/>
      <c r="U81" s="305"/>
      <c r="V81" s="305"/>
      <c r="W81" s="144"/>
      <c r="X81" s="144"/>
      <c r="Y81" s="144"/>
      <c r="Z81" s="145"/>
      <c r="AK81" s="158"/>
      <c r="AN81" s="124"/>
      <c r="BA81" s="341"/>
      <c r="BB81" s="341"/>
      <c r="BC81" s="341"/>
      <c r="BD81" s="341"/>
      <c r="BE81" s="341"/>
      <c r="BF81" s="341"/>
      <c r="BG81" s="341"/>
      <c r="BH81" s="341"/>
      <c r="BI81" s="341"/>
      <c r="BJ81" s="341"/>
      <c r="BK81" s="341"/>
      <c r="BL81" s="341"/>
      <c r="BM81" s="341"/>
      <c r="BN81" s="341"/>
      <c r="BO81" s="341"/>
    </row>
    <row r="82" spans="2:67" ht="12.75" customHeight="1">
      <c r="B82" s="393"/>
      <c r="C82" s="393"/>
      <c r="D82" s="393"/>
      <c r="E82" s="393"/>
      <c r="F82" s="393"/>
      <c r="G82" s="393"/>
      <c r="H82" s="393"/>
      <c r="I82" s="393"/>
      <c r="J82" s="393"/>
      <c r="K82" s="393"/>
      <c r="L82" s="393"/>
      <c r="N82" s="45"/>
      <c r="O82" s="84"/>
      <c r="P82" s="85"/>
      <c r="Q82" s="95"/>
      <c r="R82" s="236" t="s">
        <v>171</v>
      </c>
      <c r="S82" s="236">
        <f aca="true" t="shared" si="152" ref="S82:S88">IF(LEFT(Q82,1)="a",4,IF(LEFT(Q82,1)="b",3,IF(LEFT(Q82,1)="c",2,IF(LEFT(Q82,1)="d",1,0))))*X82</f>
        <v>0</v>
      </c>
      <c r="T82" s="236">
        <f aca="true" t="shared" si="153" ref="T82:T88">IF(OR(S82&gt;0,LEFT(Q82,1)="f"),X82,"")</f>
      </c>
      <c r="U82" s="236">
        <f t="shared" si="149"/>
      </c>
      <c r="V82" s="236">
        <f t="shared" si="150"/>
      </c>
      <c r="W82" s="262" t="s">
        <v>192</v>
      </c>
      <c r="X82" s="263">
        <v>3</v>
      </c>
      <c r="Y82" s="264" t="s">
        <v>193</v>
      </c>
      <c r="Z82" s="169"/>
      <c r="AK82" s="158"/>
      <c r="BA82" s="36">
        <f>_xlfn.IFERROR(SMALL(BA$2:BA$80,1),0)</f>
        <v>0</v>
      </c>
      <c r="BB82" s="36">
        <f>_xlfn.IFERROR(SMALL(BB$2:BB$80,1),0)</f>
        <v>0</v>
      </c>
      <c r="BC82" s="36">
        <f>_xlfn.IFERROR(SMALL(BC$2:BC$80,1),0)</f>
        <v>0</v>
      </c>
      <c r="BD82" s="36">
        <f>_xlfn.IFERROR(SMALL(BD$2:BD$80,1),0)</f>
        <v>0</v>
      </c>
      <c r="BE82" s="36">
        <f>_xlfn.IFERROR(SMALL(BE$2:BE$80,1),0)</f>
        <v>0</v>
      </c>
      <c r="BF82" s="36">
        <f>_xlfn.IFERROR(SMALL(BF$2:BF$80,1),0)</f>
        <v>0</v>
      </c>
      <c r="BG82" s="36">
        <f>_xlfn.IFERROR(SMALL(BG$2:BG$80,1),0)</f>
        <v>0</v>
      </c>
      <c r="BH82" s="36">
        <f>_xlfn.IFERROR(SMALL(BH$2:BH$80,1),0)</f>
        <v>0</v>
      </c>
      <c r="BI82" s="36">
        <f>_xlfn.IFERROR(SMALL(BI$2:BI$80,1),0)</f>
        <v>0</v>
      </c>
      <c r="BJ82" s="36">
        <f>_xlfn.IFERROR(SMALL(BJ$2:BJ$80,1),0)</f>
        <v>0</v>
      </c>
      <c r="BK82" s="36">
        <f>_xlfn.IFERROR(SMALL(BK$2:BK$80,1),0)</f>
        <v>0</v>
      </c>
      <c r="BL82" s="36">
        <f>_xlfn.IFERROR(SMALL(BL$2:BL$80,1),0)</f>
        <v>0</v>
      </c>
      <c r="BM82" s="36">
        <f>_xlfn.IFERROR(SMALL(BM$2:BM$80,1),0)</f>
        <v>0</v>
      </c>
      <c r="BN82" s="36">
        <f>_xlfn.IFERROR(SMALL(BN$2:BN$80,1),0)</f>
        <v>0</v>
      </c>
      <c r="BO82" s="36">
        <f>_xlfn.IFERROR(SMALL(BO$2:BO$80,1),0)</f>
        <v>0</v>
      </c>
    </row>
    <row r="83" spans="14:67" ht="12.75" customHeight="1">
      <c r="N83" s="45"/>
      <c r="O83" s="69"/>
      <c r="P83" s="70"/>
      <c r="Q83" s="229"/>
      <c r="R83" s="229"/>
      <c r="S83" s="238">
        <f t="shared" si="152"/>
        <v>0</v>
      </c>
      <c r="T83" s="238">
        <f t="shared" si="153"/>
      </c>
      <c r="U83" s="238">
        <f t="shared" si="149"/>
      </c>
      <c r="V83" s="238">
        <f t="shared" si="150"/>
      </c>
      <c r="W83" s="72"/>
      <c r="X83" s="73"/>
      <c r="Y83" s="74"/>
      <c r="Z83" s="170"/>
      <c r="AK83" s="158"/>
      <c r="BA83" s="36">
        <f>_xlfn.IFERROR(SMALL(BA$2:BA$80,2),0)</f>
        <v>0</v>
      </c>
      <c r="BB83" s="36">
        <f>_xlfn.IFERROR(SMALL(BB$2:BB$80,2),0)</f>
        <v>0</v>
      </c>
      <c r="BC83" s="36">
        <f>_xlfn.IFERROR(SMALL(BC$2:BC$80,2),0)</f>
        <v>0</v>
      </c>
      <c r="BD83" s="36">
        <f>_xlfn.IFERROR(SMALL(BD$2:BD$80,2),0)</f>
        <v>0</v>
      </c>
      <c r="BE83" s="36">
        <f>_xlfn.IFERROR(SMALL(BE$2:BE$80,2),0)</f>
        <v>0</v>
      </c>
      <c r="BF83" s="36">
        <f>_xlfn.IFERROR(SMALL(BF$2:BF$80,2),0)</f>
        <v>0</v>
      </c>
      <c r="BG83" s="36">
        <f>_xlfn.IFERROR(SMALL(BG$2:BG$80,2),0)</f>
        <v>0</v>
      </c>
      <c r="BH83" s="36">
        <f>_xlfn.IFERROR(SMALL(BH$2:BH$80,2),0)</f>
        <v>0</v>
      </c>
      <c r="BI83" s="36">
        <f>_xlfn.IFERROR(SMALL(BI$2:BI$80,2),0)</f>
        <v>0</v>
      </c>
      <c r="BJ83" s="36">
        <f>_xlfn.IFERROR(SMALL(BJ$2:BJ$80,2),0)</f>
        <v>0</v>
      </c>
      <c r="BK83" s="36">
        <f>_xlfn.IFERROR(SMALL(BK$2:BK$80,2),0)</f>
        <v>0</v>
      </c>
      <c r="BL83" s="36">
        <f>_xlfn.IFERROR(SMALL(BL$2:BL$80,2),0)</f>
        <v>0</v>
      </c>
      <c r="BM83" s="36">
        <f>_xlfn.IFERROR(SMALL(BM$2:BM$80,2),0)</f>
        <v>0</v>
      </c>
      <c r="BN83" s="36">
        <f>_xlfn.IFERROR(SMALL(BN$2:BN$80,2),0)</f>
        <v>0</v>
      </c>
      <c r="BO83" s="36">
        <f>_xlfn.IFERROR(SMALL(BO$2:BO$80,2),0)</f>
        <v>0</v>
      </c>
    </row>
    <row r="84" spans="14:67" ht="12.75" customHeight="1">
      <c r="N84" s="45"/>
      <c r="O84" s="69"/>
      <c r="P84" s="70"/>
      <c r="Q84" s="229"/>
      <c r="R84" s="229"/>
      <c r="S84" s="238">
        <f t="shared" si="152"/>
        <v>0</v>
      </c>
      <c r="T84" s="238">
        <f t="shared" si="153"/>
      </c>
      <c r="U84" s="238">
        <f t="shared" si="149"/>
      </c>
      <c r="V84" s="238">
        <f t="shared" si="150"/>
      </c>
      <c r="W84" s="72"/>
      <c r="X84" s="73"/>
      <c r="Y84" s="285"/>
      <c r="Z84" s="174" t="s">
        <v>147</v>
      </c>
      <c r="AK84" s="158"/>
      <c r="BA84" s="36">
        <f>_xlfn.IFERROR(SMALL(BA$2:BA$80,3),0)</f>
        <v>0</v>
      </c>
      <c r="BB84" s="36">
        <f>_xlfn.IFERROR(SMALL(BB$2:BB$80,3),0)</f>
        <v>0</v>
      </c>
      <c r="BC84" s="36">
        <f>_xlfn.IFERROR(SMALL(BC$2:BC$80,3),0)</f>
        <v>0</v>
      </c>
      <c r="BD84" s="36">
        <f>_xlfn.IFERROR(SMALL(BD$2:BD$80,3),0)</f>
        <v>0</v>
      </c>
      <c r="BE84" s="36">
        <f>_xlfn.IFERROR(SMALL(BE$2:BE$80,3),0)</f>
        <v>0</v>
      </c>
      <c r="BF84" s="36">
        <f>_xlfn.IFERROR(SMALL(BF$2:BF$80,3),0)</f>
        <v>0</v>
      </c>
      <c r="BG84" s="36">
        <f>_xlfn.IFERROR(SMALL(BG$2:BG$80,3),0)</f>
        <v>0</v>
      </c>
      <c r="BH84" s="36">
        <f>_xlfn.IFERROR(SMALL(BH$2:BH$80,3),0)</f>
        <v>0</v>
      </c>
      <c r="BI84" s="36">
        <f>_xlfn.IFERROR(SMALL(BI$2:BI$80,3),0)</f>
        <v>0</v>
      </c>
      <c r="BJ84" s="36">
        <f>_xlfn.IFERROR(SMALL(BJ$2:BJ$80,3),0)</f>
        <v>0</v>
      </c>
      <c r="BK84" s="36">
        <f>_xlfn.IFERROR(SMALL(BK$2:BK$80,3),0)</f>
        <v>0</v>
      </c>
      <c r="BL84" s="36">
        <f>_xlfn.IFERROR(SMALL(BL$2:BL$80,3),0)</f>
        <v>0</v>
      </c>
      <c r="BM84" s="36">
        <f>_xlfn.IFERROR(SMALL(BM$2:BM$80,3),0)</f>
        <v>0</v>
      </c>
      <c r="BN84" s="36">
        <f>_xlfn.IFERROR(SMALL(BN$2:BN$80,3),0)</f>
        <v>0</v>
      </c>
      <c r="BO84" s="36">
        <f>_xlfn.IFERROR(SMALL(BO$2:BO$80,3),0)</f>
        <v>0</v>
      </c>
    </row>
    <row r="85" spans="14:67" ht="12.75" customHeight="1">
      <c r="N85" s="45"/>
      <c r="O85" s="69"/>
      <c r="P85" s="70"/>
      <c r="Q85" s="229"/>
      <c r="R85" s="229"/>
      <c r="S85" s="238">
        <f t="shared" si="152"/>
        <v>0</v>
      </c>
      <c r="T85" s="238">
        <f t="shared" si="153"/>
      </c>
      <c r="U85" s="238">
        <f t="shared" si="149"/>
      </c>
      <c r="V85" s="238">
        <f t="shared" si="150"/>
      </c>
      <c r="W85" s="72"/>
      <c r="X85" s="73"/>
      <c r="Y85" s="74"/>
      <c r="Z85" s="172" t="s">
        <v>148</v>
      </c>
      <c r="AK85" s="158"/>
      <c r="BA85" s="36">
        <f>_xlfn.IFERROR(SMALL(BA$2:BA$80,4),0)</f>
        <v>0</v>
      </c>
      <c r="BB85" s="36">
        <f>_xlfn.IFERROR(SMALL(BB$2:BB$80,4),0)</f>
        <v>0</v>
      </c>
      <c r="BC85" s="36">
        <f>_xlfn.IFERROR(SMALL(BC$2:BC$80,4),0)</f>
        <v>0</v>
      </c>
      <c r="BD85" s="36">
        <f>_xlfn.IFERROR(SMALL(BD$2:BD$80,4),0)</f>
        <v>0</v>
      </c>
      <c r="BE85" s="36">
        <f>_xlfn.IFERROR(SMALL(BE$2:BE$80,4),0)</f>
        <v>0</v>
      </c>
      <c r="BF85" s="36">
        <f>_xlfn.IFERROR(SMALL(BF$2:BF$80,4),0)</f>
        <v>0</v>
      </c>
      <c r="BG85" s="36">
        <f>_xlfn.IFERROR(SMALL(BG$2:BG$80,4),0)</f>
        <v>0</v>
      </c>
      <c r="BH85" s="36">
        <f>_xlfn.IFERROR(SMALL(BH$2:BH$80,4),0)</f>
        <v>0</v>
      </c>
      <c r="BI85" s="36">
        <f>_xlfn.IFERROR(SMALL(BI$2:BI$80,4),0)</f>
        <v>0</v>
      </c>
      <c r="BJ85" s="36">
        <f>_xlfn.IFERROR(SMALL(BJ$2:BJ$80,4),0)</f>
        <v>0</v>
      </c>
      <c r="BK85" s="36">
        <f>_xlfn.IFERROR(SMALL(BK$2:BK$80,4),0)</f>
        <v>0</v>
      </c>
      <c r="BL85" s="36">
        <f>_xlfn.IFERROR(SMALL(BL$2:BL$80,4),0)</f>
        <v>0</v>
      </c>
      <c r="BM85" s="36">
        <f>_xlfn.IFERROR(SMALL(BM$2:BM$80,4),0)</f>
        <v>0</v>
      </c>
      <c r="BN85" s="36">
        <f>_xlfn.IFERROR(SMALL(BN$2:BN$80,4),0)</f>
        <v>0</v>
      </c>
      <c r="BO85" s="36">
        <f>_xlfn.IFERROR(SMALL(BO$2:BO$80,4),0)</f>
        <v>0</v>
      </c>
    </row>
    <row r="86" spans="14:67" ht="12.75" customHeight="1">
      <c r="N86" s="261"/>
      <c r="O86" s="69"/>
      <c r="P86" s="70"/>
      <c r="Q86" s="229"/>
      <c r="R86" s="229"/>
      <c r="S86" s="238">
        <f t="shared" si="152"/>
        <v>0</v>
      </c>
      <c r="T86" s="238">
        <f t="shared" si="153"/>
      </c>
      <c r="U86" s="238">
        <f t="shared" si="149"/>
      </c>
      <c r="V86" s="238">
        <f t="shared" si="150"/>
      </c>
      <c r="W86" s="72"/>
      <c r="X86" s="73"/>
      <c r="Y86" s="316"/>
      <c r="Z86" s="172" t="s">
        <v>149</v>
      </c>
      <c r="AK86" s="158"/>
      <c r="BA86" s="36">
        <f>_xlfn.IFERROR(SMALL(BA$2:BA$80,5),0)</f>
        <v>0</v>
      </c>
      <c r="BB86" s="36">
        <f>_xlfn.IFERROR(SMALL(BB$2:BB$80,5),0)</f>
        <v>0</v>
      </c>
      <c r="BC86" s="36">
        <f>_xlfn.IFERROR(SMALL(BC$2:BC$80,5),0)</f>
        <v>0</v>
      </c>
      <c r="BD86" s="36">
        <f>_xlfn.IFERROR(SMALL(BD$2:BD$80,5),0)</f>
        <v>0</v>
      </c>
      <c r="BE86" s="36">
        <f>_xlfn.IFERROR(SMALL(BE$2:BE$80,5),0)</f>
        <v>0</v>
      </c>
      <c r="BF86" s="36">
        <f>_xlfn.IFERROR(SMALL(BF$2:BF$80,5),0)</f>
        <v>0</v>
      </c>
      <c r="BG86" s="36">
        <f>_xlfn.IFERROR(SMALL(BG$2:BG$80,5),0)</f>
        <v>0</v>
      </c>
      <c r="BH86" s="36">
        <f>_xlfn.IFERROR(SMALL(BH$2:BH$80,5),0)</f>
        <v>0</v>
      </c>
      <c r="BI86" s="36">
        <f>_xlfn.IFERROR(SMALL(BI$2:BI$80,5),0)</f>
        <v>0</v>
      </c>
      <c r="BJ86" s="36">
        <f>_xlfn.IFERROR(SMALL(BJ$2:BJ$80,5),0)</f>
        <v>0</v>
      </c>
      <c r="BK86" s="36">
        <f>_xlfn.IFERROR(SMALL(BK$2:BK$80,5),0)</f>
        <v>0</v>
      </c>
      <c r="BL86" s="36">
        <f>_xlfn.IFERROR(SMALL(BL$2:BL$80,5),0)</f>
        <v>0</v>
      </c>
      <c r="BM86" s="36">
        <f>_xlfn.IFERROR(SMALL(BM$2:BM$80,5),0)</f>
        <v>0</v>
      </c>
      <c r="BN86" s="36">
        <f>_xlfn.IFERROR(SMALL(BN$2:BN$80,5),0)</f>
        <v>0</v>
      </c>
      <c r="BO86" s="36">
        <f>_xlfn.IFERROR(SMALL(BO$2:BO$80,5),0)</f>
        <v>0</v>
      </c>
    </row>
    <row r="87" spans="14:67" ht="12.75" customHeight="1">
      <c r="N87" s="385" t="s">
        <v>194</v>
      </c>
      <c r="O87" s="69"/>
      <c r="P87" s="70"/>
      <c r="Q87" s="97"/>
      <c r="R87" s="97"/>
      <c r="S87" s="238">
        <f t="shared" si="152"/>
        <v>0</v>
      </c>
      <c r="T87" s="238">
        <f t="shared" si="153"/>
      </c>
      <c r="U87" s="238">
        <f t="shared" si="149"/>
      </c>
      <c r="V87" s="238">
        <f t="shared" si="150"/>
      </c>
      <c r="W87" s="72"/>
      <c r="X87" s="77"/>
      <c r="Y87" s="74"/>
      <c r="Z87" s="266" t="s">
        <v>150</v>
      </c>
      <c r="BA87" s="36">
        <f>_xlfn.IFERROR(SMALL(BA$2:BA$80,6),0)</f>
        <v>0</v>
      </c>
      <c r="BB87" s="36">
        <f>_xlfn.IFERROR(SMALL(BB$2:BB$80,6),0)</f>
        <v>0</v>
      </c>
      <c r="BC87" s="36">
        <f>_xlfn.IFERROR(SMALL(BC$2:BC$80,6),0)</f>
        <v>0</v>
      </c>
      <c r="BD87" s="36">
        <f>_xlfn.IFERROR(SMALL(BD$2:BD$80,6),0)</f>
        <v>0</v>
      </c>
      <c r="BE87" s="36">
        <f>_xlfn.IFERROR(SMALL(BE$2:BE$80,6),0)</f>
        <v>0</v>
      </c>
      <c r="BF87" s="36">
        <f>_xlfn.IFERROR(SMALL(BF$2:BF$80,6),0)</f>
        <v>0</v>
      </c>
      <c r="BG87" s="36">
        <f>_xlfn.IFERROR(SMALL(BG$2:BG$80,6),0)</f>
        <v>0</v>
      </c>
      <c r="BH87" s="36">
        <f>_xlfn.IFERROR(SMALL(BH$2:BH$80,6),0)</f>
        <v>0</v>
      </c>
      <c r="BI87" s="36">
        <f>_xlfn.IFERROR(SMALL(BI$2:BI$80,6),0)</f>
        <v>0</v>
      </c>
      <c r="BJ87" s="36">
        <f>_xlfn.IFERROR(SMALL(BJ$2:BJ$80,6),0)</f>
        <v>0</v>
      </c>
      <c r="BK87" s="36">
        <f>_xlfn.IFERROR(SMALL(BK$2:BK$80,6),0)</f>
        <v>0</v>
      </c>
      <c r="BL87" s="36">
        <f>_xlfn.IFERROR(SMALL(BL$2:BL$80,6),0)</f>
        <v>0</v>
      </c>
      <c r="BM87" s="36">
        <f>_xlfn.IFERROR(SMALL(BM$2:BM$80,6),0)</f>
        <v>0</v>
      </c>
      <c r="BN87" s="36">
        <f>_xlfn.IFERROR(SMALL(BN$2:BN$80,6),0)</f>
        <v>0</v>
      </c>
      <c r="BO87" s="36">
        <f>_xlfn.IFERROR(SMALL(BO$2:BO$80,6),0)</f>
        <v>0</v>
      </c>
    </row>
    <row r="88" spans="14:67" ht="12.75" customHeight="1" thickBot="1">
      <c r="N88" s="386"/>
      <c r="O88" s="69"/>
      <c r="P88" s="70"/>
      <c r="Q88" s="97"/>
      <c r="R88" s="97"/>
      <c r="S88" s="238">
        <f t="shared" si="152"/>
        <v>0</v>
      </c>
      <c r="T88" s="238">
        <f t="shared" si="153"/>
      </c>
      <c r="U88" s="238">
        <f t="shared" si="149"/>
      </c>
      <c r="V88" s="238">
        <f t="shared" si="150"/>
      </c>
      <c r="W88" s="72"/>
      <c r="X88" s="77"/>
      <c r="Y88" s="74"/>
      <c r="Z88" s="172"/>
      <c r="BA88" s="36">
        <f>_xlfn.IFERROR(SMALL(BA$2:BA$80,7),0)</f>
        <v>0</v>
      </c>
      <c r="BB88" s="36">
        <f>_xlfn.IFERROR(SMALL(BB$2:BB$80,7),0)</f>
        <v>0</v>
      </c>
      <c r="BC88" s="36">
        <f>_xlfn.IFERROR(SMALL(BC$2:BC$80,7),0)</f>
        <v>0</v>
      </c>
      <c r="BD88" s="36">
        <f>_xlfn.IFERROR(SMALL(BD$2:BD$80,7),0)</f>
        <v>0</v>
      </c>
      <c r="BE88" s="36">
        <f>_xlfn.IFERROR(SMALL(BE$2:BE$80,7),0)</f>
        <v>0</v>
      </c>
      <c r="BF88" s="36">
        <f>_xlfn.IFERROR(SMALL(BF$2:BF$80,7),0)</f>
        <v>0</v>
      </c>
      <c r="BG88" s="36">
        <f>_xlfn.IFERROR(SMALL(BG$2:BG$80,7),0)</f>
        <v>0</v>
      </c>
      <c r="BH88" s="36">
        <f>_xlfn.IFERROR(SMALL(BH$2:BH$80,7),0)</f>
        <v>0</v>
      </c>
      <c r="BI88" s="36">
        <f>_xlfn.IFERROR(SMALL(BI$2:BI$80,7),0)</f>
        <v>0</v>
      </c>
      <c r="BJ88" s="36">
        <f>_xlfn.IFERROR(SMALL(BJ$2:BJ$80,7),0)</f>
        <v>0</v>
      </c>
      <c r="BK88" s="36">
        <f>_xlfn.IFERROR(SMALL(BK$2:BK$80,7),0)</f>
        <v>0</v>
      </c>
      <c r="BL88" s="36">
        <f>_xlfn.IFERROR(SMALL(BL$2:BL$80,7),0)</f>
        <v>0</v>
      </c>
      <c r="BM88" s="36">
        <f>_xlfn.IFERROR(SMALL(BM$2:BM$80,7),0)</f>
        <v>0</v>
      </c>
      <c r="BN88" s="36">
        <f>_xlfn.IFERROR(SMALL(BN$2:BN$80,7),0)</f>
        <v>0</v>
      </c>
      <c r="BO88" s="36">
        <f>_xlfn.IFERROR(SMALL(BO$2:BO$80,7),0)</f>
        <v>0</v>
      </c>
    </row>
    <row r="89" spans="14:67" ht="12.75">
      <c r="N89" s="95" t="s">
        <v>174</v>
      </c>
      <c r="O89" s="69"/>
      <c r="P89" s="70"/>
      <c r="Q89" s="97"/>
      <c r="R89" s="97"/>
      <c r="S89" s="238">
        <f>IF(N89="Y",IF(LEFT(Q89,1)="a",4,IF(LEFT(Q89,1)="b",3,IF(LEFT(Q89,1)="c",2,IF(LEFT(Q89,1)="d",1,0))))*X89,0)</f>
        <v>0</v>
      </c>
      <c r="T89" s="238">
        <f>IF(N89="y",IF(OR(S89&gt;0,LEFT(Q89,1)="f"),X89,""),"")</f>
      </c>
      <c r="U89" s="238">
        <f t="shared" si="149"/>
      </c>
      <c r="V89" s="238">
        <f t="shared" si="150"/>
      </c>
      <c r="W89" s="72"/>
      <c r="X89" s="77"/>
      <c r="Y89" s="74"/>
      <c r="Z89" s="174" t="s">
        <v>198</v>
      </c>
      <c r="BA89" s="36">
        <f>_xlfn.IFERROR(SMALL(BA$2:BA$80,8),0)</f>
        <v>0</v>
      </c>
      <c r="BB89" s="36">
        <f>_xlfn.IFERROR(SMALL(BB$2:BB$80,8),0)</f>
        <v>0</v>
      </c>
      <c r="BC89" s="36">
        <f>_xlfn.IFERROR(SMALL(BC$2:BC$80,8),0)</f>
        <v>0</v>
      </c>
      <c r="BD89" s="36">
        <f>_xlfn.IFERROR(SMALL(BD$2:BD$80,8),0)</f>
        <v>0</v>
      </c>
      <c r="BE89" s="36">
        <f>_xlfn.IFERROR(SMALL(BE$2:BE$80,8),0)</f>
        <v>0</v>
      </c>
      <c r="BF89" s="36">
        <f>_xlfn.IFERROR(SMALL(BF$2:BF$80,8),0)</f>
        <v>0</v>
      </c>
      <c r="BG89" s="36">
        <f>_xlfn.IFERROR(SMALL(BG$2:BG$80,8),0)</f>
        <v>0</v>
      </c>
      <c r="BH89" s="36">
        <f>_xlfn.IFERROR(SMALL(BH$2:BH$80,8),0)</f>
        <v>0</v>
      </c>
      <c r="BI89" s="36">
        <f>_xlfn.IFERROR(SMALL(BI$2:BI$80,8),0)</f>
        <v>0</v>
      </c>
      <c r="BJ89" s="36">
        <f>_xlfn.IFERROR(SMALL(BJ$2:BJ$80,8),0)</f>
        <v>0</v>
      </c>
      <c r="BK89" s="36">
        <f>_xlfn.IFERROR(SMALL(BK$2:BK$80,8),0)</f>
        <v>0</v>
      </c>
      <c r="BL89" s="36">
        <f>_xlfn.IFERROR(SMALL(BL$2:BL$80,8),0)</f>
        <v>0</v>
      </c>
      <c r="BM89" s="36">
        <f>_xlfn.IFERROR(SMALL(BM$2:BM$80,8),0)</f>
        <v>0</v>
      </c>
      <c r="BN89" s="36">
        <f>_xlfn.IFERROR(SMALL(BN$2:BN$80,8),0)</f>
        <v>0</v>
      </c>
      <c r="BO89" s="36">
        <f>_xlfn.IFERROR(SMALL(BO$2:BO$80,8),0)</f>
        <v>0</v>
      </c>
    </row>
    <row r="90" spans="14:67" ht="12.75">
      <c r="N90" s="97" t="s">
        <v>174</v>
      </c>
      <c r="O90" s="69"/>
      <c r="P90" s="70"/>
      <c r="Q90" s="97"/>
      <c r="R90" s="97"/>
      <c r="S90" s="238">
        <f>IF(N90="Y",IF(LEFT(Q90,1)="a",4,IF(LEFT(Q90,1)="b",3,IF(LEFT(Q90,1)="c",2,IF(LEFT(Q90,1)="d",1,0))))*X90,0)</f>
        <v>0</v>
      </c>
      <c r="T90" s="238">
        <f>IF(N90="y",IF(OR(S90&gt;0,LEFT(Q90,1)="f"),X90,""),"")</f>
      </c>
      <c r="U90" s="238">
        <f t="shared" si="149"/>
      </c>
      <c r="V90" s="238">
        <f t="shared" si="150"/>
      </c>
      <c r="W90" s="72"/>
      <c r="X90" s="77"/>
      <c r="Y90" s="74"/>
      <c r="Z90" s="266" t="s">
        <v>199</v>
      </c>
      <c r="BA90" s="37"/>
      <c r="BB90" s="37"/>
      <c r="BC90" s="37"/>
      <c r="BD90" s="37"/>
      <c r="BE90" s="37"/>
      <c r="BF90" s="37"/>
      <c r="BG90" s="37"/>
      <c r="BH90" s="37"/>
      <c r="BI90" s="37"/>
      <c r="BJ90" s="37"/>
      <c r="BK90" s="37"/>
      <c r="BL90" s="37"/>
      <c r="BM90" s="37"/>
      <c r="BN90" s="37"/>
      <c r="BO90" s="37"/>
    </row>
    <row r="91" spans="14:67" ht="12.75">
      <c r="N91" s="97" t="s">
        <v>174</v>
      </c>
      <c r="O91" s="69"/>
      <c r="P91" s="70"/>
      <c r="Q91" s="97"/>
      <c r="R91" s="97"/>
      <c r="S91" s="238">
        <f>IF(N91="Y",IF(LEFT(Q91,1)="a",4,IF(LEFT(Q91,1)="b",3,IF(LEFT(Q91,1)="c",2,IF(LEFT(Q91,1)="d",1,0))))*X91,0)</f>
        <v>0</v>
      </c>
      <c r="T91" s="238">
        <f>IF(N91="y",IF(OR(S91&gt;0,LEFT(Q91,1)="f"),X91,""),"")</f>
      </c>
      <c r="U91" s="238">
        <f t="shared" si="149"/>
      </c>
      <c r="V91" s="238">
        <f t="shared" si="150"/>
      </c>
      <c r="W91" s="72"/>
      <c r="X91" s="77"/>
      <c r="Y91" s="74"/>
      <c r="Z91" s="266" t="s">
        <v>200</v>
      </c>
      <c r="BA91" s="37"/>
      <c r="BB91" s="37"/>
      <c r="BC91" s="37"/>
      <c r="BD91" s="37"/>
      <c r="BE91" s="37"/>
      <c r="BF91" s="37"/>
      <c r="BG91" s="37"/>
      <c r="BH91" s="37"/>
      <c r="BI91" s="37"/>
      <c r="BJ91" s="37"/>
      <c r="BK91" s="37"/>
      <c r="BL91" s="37"/>
      <c r="BM91" s="37"/>
      <c r="BN91" s="37"/>
      <c r="BO91" s="37"/>
    </row>
    <row r="92" spans="14:67" ht="12.75">
      <c r="N92" s="97" t="s">
        <v>174</v>
      </c>
      <c r="O92" s="69"/>
      <c r="P92" s="70"/>
      <c r="Q92" s="97"/>
      <c r="R92" s="97"/>
      <c r="S92" s="238">
        <f>IF(N92="Y",IF(LEFT(Q92,1)="a",4,IF(LEFT(Q92,1)="b",3,IF(LEFT(Q92,1)="c",2,IF(LEFT(Q92,1)="d",1,0))))*X92,0)</f>
        <v>0</v>
      </c>
      <c r="T92" s="238">
        <f>IF(N92="y",IF(OR(S92&gt;0,LEFT(Q92,1)="f"),X92,""),"")</f>
      </c>
      <c r="U92" s="238">
        <f t="shared" si="149"/>
      </c>
      <c r="V92" s="238">
        <f t="shared" si="150"/>
      </c>
      <c r="W92" s="72"/>
      <c r="X92" s="77"/>
      <c r="Y92" s="74"/>
      <c r="Z92" s="170"/>
      <c r="BA92" s="37"/>
      <c r="BB92" s="37"/>
      <c r="BC92" s="37"/>
      <c r="BD92" s="37"/>
      <c r="BE92" s="37"/>
      <c r="BF92" s="37"/>
      <c r="BG92" s="37"/>
      <c r="BH92" s="37"/>
      <c r="BI92" s="37"/>
      <c r="BJ92" s="37"/>
      <c r="BK92" s="37"/>
      <c r="BL92" s="37"/>
      <c r="BM92" s="37"/>
      <c r="BN92" s="37"/>
      <c r="BO92" s="37"/>
    </row>
    <row r="93" spans="14:67" ht="13.5" thickBot="1">
      <c r="N93" s="96" t="s">
        <v>174</v>
      </c>
      <c r="O93" s="79"/>
      <c r="P93" s="80"/>
      <c r="Q93" s="96"/>
      <c r="R93" s="96"/>
      <c r="S93" s="237">
        <f>IF(N93="Y",IF(LEFT(Q93,1)="a",4,IF(LEFT(Q93,1)="b",3,IF(LEFT(Q93,1)="c",2,IF(LEFT(Q93,1)="d",1,0))))*X93,0)</f>
        <v>0</v>
      </c>
      <c r="T93" s="237">
        <f>IF(N93="y",IF(OR(S93&gt;0,LEFT(Q93,1)="f"),X93,""),"")</f>
      </c>
      <c r="U93" s="237">
        <f t="shared" si="149"/>
      </c>
      <c r="V93" s="237">
        <f t="shared" si="150"/>
      </c>
      <c r="W93" s="116"/>
      <c r="X93" s="82"/>
      <c r="Y93" s="83"/>
      <c r="Z93" s="171"/>
      <c r="BA93" s="37"/>
      <c r="BB93" s="37"/>
      <c r="BC93" s="37"/>
      <c r="BD93" s="37"/>
      <c r="BE93" s="37"/>
      <c r="BF93" s="37"/>
      <c r="BG93" s="37"/>
      <c r="BH93" s="37"/>
      <c r="BI93" s="37"/>
      <c r="BJ93" s="37"/>
      <c r="BK93" s="37"/>
      <c r="BL93" s="37"/>
      <c r="BM93" s="37"/>
      <c r="BN93" s="37"/>
      <c r="BO93" s="37"/>
    </row>
    <row r="94" spans="14:67" ht="15.75">
      <c r="N94" s="40"/>
      <c r="O94" s="129"/>
      <c r="P94" s="155" t="s">
        <v>137</v>
      </c>
      <c r="Q94" s="206">
        <f>IF(T94&gt;0,S94/T94,0)</f>
        <v>0</v>
      </c>
      <c r="R94" s="244" t="s">
        <v>177</v>
      </c>
      <c r="S94" s="300">
        <f>SUM(S6:S93)</f>
        <v>0</v>
      </c>
      <c r="T94" s="300">
        <f>SUM(T6:T93)</f>
        <v>0</v>
      </c>
      <c r="U94" s="300">
        <f>SUM(U6:U93)</f>
        <v>0</v>
      </c>
      <c r="V94" s="300">
        <f>SUM(V6:V93)</f>
        <v>0</v>
      </c>
      <c r="W94" s="244"/>
      <c r="X94" s="115"/>
      <c r="BA94" s="37"/>
      <c r="BB94" s="37"/>
      <c r="BC94" s="37"/>
      <c r="BD94" s="37"/>
      <c r="BE94" s="37"/>
      <c r="BF94" s="37"/>
      <c r="BG94" s="37"/>
      <c r="BH94" s="37"/>
      <c r="BI94" s="37"/>
      <c r="BJ94" s="37"/>
      <c r="BK94" s="37"/>
      <c r="BL94" s="37"/>
      <c r="BM94" s="37"/>
      <c r="BN94" s="37"/>
      <c r="BO94" s="37"/>
    </row>
    <row r="95" spans="15:67" ht="15.75">
      <c r="O95" s="129"/>
      <c r="P95" s="155" t="s">
        <v>163</v>
      </c>
      <c r="Q95" s="207">
        <f>T94</f>
        <v>0</v>
      </c>
      <c r="R95" s="114"/>
      <c r="S95" s="301"/>
      <c r="T95" s="301"/>
      <c r="U95" s="301"/>
      <c r="V95" s="301"/>
      <c r="W95" s="114"/>
      <c r="BA95" s="37"/>
      <c r="BB95" s="37"/>
      <c r="BC95" s="37"/>
      <c r="BD95" s="37"/>
      <c r="BE95" s="37"/>
      <c r="BF95" s="37"/>
      <c r="BG95" s="37"/>
      <c r="BH95" s="37"/>
      <c r="BI95" s="37"/>
      <c r="BJ95" s="37"/>
      <c r="BK95" s="37"/>
      <c r="BL95" s="37"/>
      <c r="BM95" s="37"/>
      <c r="BN95" s="37"/>
      <c r="BO95" s="37"/>
    </row>
    <row r="96" spans="15:67" ht="15.75">
      <c r="O96" s="129"/>
      <c r="P96" s="155" t="s">
        <v>172</v>
      </c>
      <c r="Q96" s="206">
        <f>IF(V94&gt;0,U94/V94,0)</f>
        <v>0</v>
      </c>
      <c r="R96" s="243" t="s">
        <v>176</v>
      </c>
      <c r="S96" s="301"/>
      <c r="T96" s="301"/>
      <c r="U96" s="301"/>
      <c r="V96" s="301"/>
      <c r="W96" s="243"/>
      <c r="BA96" s="37"/>
      <c r="BB96" s="37"/>
      <c r="BC96" s="37"/>
      <c r="BD96" s="37"/>
      <c r="BE96" s="37"/>
      <c r="BF96" s="37"/>
      <c r="BG96" s="37"/>
      <c r="BH96" s="37"/>
      <c r="BI96" s="37"/>
      <c r="BJ96" s="37"/>
      <c r="BK96" s="37"/>
      <c r="BL96" s="37"/>
      <c r="BM96" s="37"/>
      <c r="BN96" s="37"/>
      <c r="BO96" s="37"/>
    </row>
    <row r="97" spans="15:67" ht="15.75">
      <c r="O97" s="129"/>
      <c r="P97" s="155" t="s">
        <v>173</v>
      </c>
      <c r="Q97" s="207">
        <f>V94</f>
        <v>0</v>
      </c>
      <c r="R97" s="240"/>
      <c r="S97" s="301"/>
      <c r="T97" s="301"/>
      <c r="U97" s="301"/>
      <c r="V97" s="301"/>
      <c r="W97" s="114"/>
      <c r="BA97" s="37"/>
      <c r="BB97" s="37"/>
      <c r="BC97" s="37"/>
      <c r="BD97" s="37"/>
      <c r="BE97" s="37"/>
      <c r="BF97" s="37"/>
      <c r="BG97" s="37"/>
      <c r="BH97" s="37"/>
      <c r="BI97" s="37"/>
      <c r="BJ97" s="37"/>
      <c r="BK97" s="37"/>
      <c r="BL97" s="37"/>
      <c r="BM97" s="37"/>
      <c r="BN97" s="37"/>
      <c r="BO97" s="37"/>
    </row>
    <row r="98" spans="23:26" ht="13.5" thickBot="1">
      <c r="W98" s="222"/>
      <c r="X98" s="160"/>
      <c r="Y98" s="160"/>
      <c r="Z98" s="160"/>
    </row>
    <row r="99" spans="15:53" ht="12.75">
      <c r="O99" s="387" t="s">
        <v>197</v>
      </c>
      <c r="P99" s="388"/>
      <c r="Q99" s="388"/>
      <c r="R99" s="388"/>
      <c r="S99" s="388"/>
      <c r="T99" s="388"/>
      <c r="U99" s="388"/>
      <c r="V99" s="388"/>
      <c r="W99" s="388"/>
      <c r="X99" s="388"/>
      <c r="Y99" s="388"/>
      <c r="Z99" s="389"/>
      <c r="BA99" s="37"/>
    </row>
    <row r="100" spans="15:26" ht="13.5" thickBot="1">
      <c r="O100" s="390"/>
      <c r="P100" s="391"/>
      <c r="Q100" s="391"/>
      <c r="R100" s="391"/>
      <c r="S100" s="391"/>
      <c r="T100" s="391"/>
      <c r="U100" s="391"/>
      <c r="V100" s="391"/>
      <c r="W100" s="391"/>
      <c r="X100" s="391"/>
      <c r="Y100" s="391"/>
      <c r="Z100" s="392"/>
    </row>
    <row r="101" spans="17:26" ht="13.5" thickBot="1">
      <c r="Q101" s="14"/>
      <c r="R101" s="14" t="s">
        <v>144</v>
      </c>
      <c r="S101" s="302"/>
      <c r="T101" s="302"/>
      <c r="U101" s="302"/>
      <c r="V101" s="302"/>
      <c r="W101" s="416" t="s">
        <v>166</v>
      </c>
      <c r="X101" s="417"/>
      <c r="Y101" s="417"/>
      <c r="Z101" s="418"/>
    </row>
    <row r="103" ht="12.75">
      <c r="W103" s="159"/>
    </row>
  </sheetData>
  <sheetProtection password="FC8A" sheet="1" selectLockedCells="1"/>
  <mergeCells count="46">
    <mergeCell ref="Z32:Z34"/>
    <mergeCell ref="P3:P4"/>
    <mergeCell ref="W101:Z101"/>
    <mergeCell ref="Z26:Z27"/>
    <mergeCell ref="Z28:Z30"/>
    <mergeCell ref="O99:Z100"/>
    <mergeCell ref="Y66:Y68"/>
    <mergeCell ref="R3:R4"/>
    <mergeCell ref="Q3:Q4"/>
    <mergeCell ref="V3:V4"/>
    <mergeCell ref="O3:O4"/>
    <mergeCell ref="N87:N88"/>
    <mergeCell ref="B59:D59"/>
    <mergeCell ref="F59:H59"/>
    <mergeCell ref="J59:L59"/>
    <mergeCell ref="B47:D47"/>
    <mergeCell ref="Z73:Z75"/>
    <mergeCell ref="J47:L47"/>
    <mergeCell ref="B76:L82"/>
    <mergeCell ref="C2:E2"/>
    <mergeCell ref="C3:E3"/>
    <mergeCell ref="B23:D23"/>
    <mergeCell ref="Z66:Z68"/>
    <mergeCell ref="Z37:Z38"/>
    <mergeCell ref="Z23:Z24"/>
    <mergeCell ref="B35:D35"/>
    <mergeCell ref="U3:U4"/>
    <mergeCell ref="J35:L35"/>
    <mergeCell ref="T3:T4"/>
    <mergeCell ref="B11:D11"/>
    <mergeCell ref="F11:H11"/>
    <mergeCell ref="F47:H47"/>
    <mergeCell ref="N39:N44"/>
    <mergeCell ref="J11:L11"/>
    <mergeCell ref="F23:H23"/>
    <mergeCell ref="F35:H35"/>
    <mergeCell ref="BQ1:CA5"/>
    <mergeCell ref="AA61:AB64"/>
    <mergeCell ref="A5:C5"/>
    <mergeCell ref="S3:S4"/>
    <mergeCell ref="A2:B2"/>
    <mergeCell ref="X2:Z3"/>
    <mergeCell ref="A3:B3"/>
    <mergeCell ref="C4:E4"/>
    <mergeCell ref="X4:Z4"/>
    <mergeCell ref="J23:L23"/>
  </mergeCells>
  <conditionalFormatting sqref="K68 K20 K32 K44 K56">
    <cfRule type="cellIs" priority="850" dxfId="72" operator="lessThan" stopIfTrue="1">
      <formula>6</formula>
    </cfRule>
    <cfRule type="cellIs" priority="851" dxfId="71" operator="greaterThanOrEqual" stopIfTrue="1">
      <formula>12</formula>
    </cfRule>
    <cfRule type="cellIs" priority="852" dxfId="77" operator="greaterThanOrEqual" stopIfTrue="1">
      <formula>6</formula>
    </cfRule>
  </conditionalFormatting>
  <conditionalFormatting sqref="B13:B19 F13:F19 J13:J19">
    <cfRule type="cellIs" priority="82" dxfId="2" operator="equal" stopIfTrue="1">
      <formula>0</formula>
    </cfRule>
    <cfRule type="containsText" priority="286" dxfId="51" operator="containsText" stopIfTrue="1" text="Error">
      <formula>NOT(ISERROR(SEARCH("Error",B13)))</formula>
    </cfRule>
  </conditionalFormatting>
  <conditionalFormatting sqref="J11:L11 F11:H11 B11:D11">
    <cfRule type="cellIs" priority="215" dxfId="74" operator="equal" stopIfTrue="1">
      <formula>$G$5</formula>
    </cfRule>
  </conditionalFormatting>
  <conditionalFormatting sqref="C20 G20 C32 G32 C44 G44 C56 G56 C68 G68">
    <cfRule type="cellIs" priority="4" dxfId="0" operator="equal" stopIfTrue="1">
      <formula>0</formula>
    </cfRule>
    <cfRule type="cellIs" priority="220" dxfId="72" operator="lessThan" stopIfTrue="1">
      <formula>12</formula>
    </cfRule>
    <cfRule type="cellIs" priority="221" dxfId="71" operator="greaterThanOrEqual" stopIfTrue="1">
      <formula>18</formula>
    </cfRule>
    <cfRule type="cellIs" priority="222" dxfId="77" operator="greaterThanOrEqual" stopIfTrue="1">
      <formula>12</formula>
    </cfRule>
  </conditionalFormatting>
  <conditionalFormatting sqref="B20 F20 J20 B32 F32 J32 B44 F44 J44 B56 F56 J56 B68 F68 J68">
    <cfRule type="containsText" priority="211" dxfId="51" operator="containsText" stopIfTrue="1" text="Excess">
      <formula>NOT(ISERROR(SEARCH("Excess",B20)))</formula>
    </cfRule>
  </conditionalFormatting>
  <conditionalFormatting sqref="H13:H19 L13:L19 D25:D31 H25:H31 L25:L31 D49:D55 H49:H55 L49:L55 D61:D67 H61:H67 L61:L67 D37:D43 H37:H43 L37:L43">
    <cfRule type="cellIs" priority="140" dxfId="69" operator="equal" stopIfTrue="1">
      <formula>"D"</formula>
    </cfRule>
    <cfRule type="cellIs" priority="141" dxfId="51" operator="equal" stopIfTrue="1">
      <formula>"F"</formula>
    </cfRule>
    <cfRule type="cellIs" priority="142" dxfId="67" operator="equal" stopIfTrue="1">
      <formula>0</formula>
    </cfRule>
  </conditionalFormatting>
  <conditionalFormatting sqref="B25:B31 F25:F31 J25:J31 B37:B43 F37:F43 J37:J43">
    <cfRule type="cellIs" priority="79" dxfId="2" operator="equal" stopIfTrue="1">
      <formula>0</formula>
    </cfRule>
    <cfRule type="containsText" priority="80" dxfId="65" operator="containsText" stopIfTrue="1" text="Error">
      <formula>NOT(ISERROR(SEARCH("Error",B25)))</formula>
    </cfRule>
  </conditionalFormatting>
  <conditionalFormatting sqref="B49:B55 F49:F55 J49:J55 B61:B67 F61:F67 J61:J67">
    <cfRule type="cellIs" priority="77" dxfId="2" operator="equal" stopIfTrue="1">
      <formula>0</formula>
    </cfRule>
    <cfRule type="containsText" priority="78" dxfId="1" operator="containsText" stopIfTrue="1" text="Error">
      <formula>NOT(ISERROR(SEARCH("Error",B49)))</formula>
    </cfRule>
  </conditionalFormatting>
  <conditionalFormatting sqref="C13:C19 G13:G19 K13:K19 C25:C31 G25:G31 K25:K31 C49:C55 G49:G55 K49:K55 C61:C67 G61:G67 K61:K67 C37:C43 G37:G43 K37:K43">
    <cfRule type="cellIs" priority="76" dxfId="2" operator="equal" stopIfTrue="1">
      <formula>0</formula>
    </cfRule>
  </conditionalFormatting>
  <conditionalFormatting sqref="O57">
    <cfRule type="containsText" priority="74" dxfId="1" operator="containsText" stopIfTrue="1" text="sp">
      <formula>NOT(ISERROR(SEARCH("sp",O57)))</formula>
    </cfRule>
  </conditionalFormatting>
  <conditionalFormatting sqref="O56">
    <cfRule type="containsText" priority="73" dxfId="1" operator="containsText" stopIfTrue="1" text="fa">
      <formula>NOT(ISERROR(SEARCH("fa",O56)))</formula>
    </cfRule>
  </conditionalFormatting>
  <conditionalFormatting sqref="F4">
    <cfRule type="cellIs" priority="69" dxfId="58" operator="greaterThan" stopIfTrue="1">
      <formula>0</formula>
    </cfRule>
  </conditionalFormatting>
  <conditionalFormatting sqref="C4:E4">
    <cfRule type="expression" priority="68" dxfId="58" stopIfTrue="1">
      <formula>$F$4&gt;0</formula>
    </cfRule>
  </conditionalFormatting>
  <conditionalFormatting sqref="O59 O61:O62 O45 O52">
    <cfRule type="containsText" priority="67" dxfId="1" operator="containsText" stopIfTrue="1" text="su">
      <formula>NOT(ISERROR(SEARCH("su",O45)))</formula>
    </cfRule>
  </conditionalFormatting>
  <conditionalFormatting sqref="Q82:R93 Q70:R80 Q66:R68 Q40:R43 Q15:R16 Q18:R21 Q23:R24 Q11:R13 Q45:R64 Q26:R30 Q32:R38">
    <cfRule type="containsText" priority="1" dxfId="1" operator="containsText" stopIfTrue="1" text="u">
      <formula>NOT(ISERROR(SEARCH("u",Q11)))</formula>
    </cfRule>
    <cfRule type="containsText" priority="2145" dxfId="1" operator="containsText" text="f">
      <formula>NOT(ISERROR(SEARCH("f",Q11)))</formula>
    </cfRule>
    <cfRule type="containsText" priority="2331" dxfId="5" operator="containsText" text="d">
      <formula>NOT(ISERROR(SEARCH("d",Q11)))</formula>
    </cfRule>
  </conditionalFormatting>
  <conditionalFormatting sqref="O63:O64">
    <cfRule type="containsText" priority="60" dxfId="1" operator="containsText" stopIfTrue="1" text="su">
      <formula>NOT(ISERROR(SEARCH("su",O63)))</formula>
    </cfRule>
    <cfRule type="containsText" priority="61" dxfId="1" operator="containsText" stopIfTrue="1" text="fa">
      <formula>NOT(ISERROR(SEARCH("fa",O63)))</formula>
    </cfRule>
  </conditionalFormatting>
  <conditionalFormatting sqref="AJ2:AJ80">
    <cfRule type="containsText" priority="1406" dxfId="1" operator="containsText" stopIfTrue="1" text="error">
      <formula>NOT(ISERROR(SEARCH("error",AJ2)))</formula>
    </cfRule>
  </conditionalFormatting>
  <conditionalFormatting sqref="AN2:AN80">
    <cfRule type="containsText" priority="56" dxfId="50" operator="containsText" stopIfTrue="1" text="Y">
      <formula>NOT(ISERROR(SEARCH("Y",AN2)))</formula>
    </cfRule>
  </conditionalFormatting>
  <conditionalFormatting sqref="O48:Q48 AJ38">
    <cfRule type="expression" priority="1036" dxfId="3" stopIfTrue="1">
      <formula>$AO$38</formula>
    </cfRule>
  </conditionalFormatting>
  <conditionalFormatting sqref="O13:Q13 AJ8">
    <cfRule type="expression" priority="57" dxfId="3" stopIfTrue="1">
      <formula>$AO$8</formula>
    </cfRule>
  </conditionalFormatting>
  <conditionalFormatting sqref="O24:Q24">
    <cfRule type="expression" priority="1592" dxfId="3" stopIfTrue="1">
      <formula>$N$24</formula>
    </cfRule>
  </conditionalFormatting>
  <conditionalFormatting sqref="O46:Q46 AJ36">
    <cfRule type="expression" priority="66" dxfId="3" stopIfTrue="1">
      <formula>$AO$36</formula>
    </cfRule>
  </conditionalFormatting>
  <conditionalFormatting sqref="AJ2 O6:Q6">
    <cfRule type="expression" priority="49" dxfId="3">
      <formula>$AO$2</formula>
    </cfRule>
  </conditionalFormatting>
  <conditionalFormatting sqref="AJ3 O7:Q7">
    <cfRule type="expression" priority="48" dxfId="3">
      <formula>$AO$3</formula>
    </cfRule>
  </conditionalFormatting>
  <conditionalFormatting sqref="AJ15">
    <cfRule type="expression" priority="47" dxfId="3" stopIfTrue="1">
      <formula>$AO$15</formula>
    </cfRule>
  </conditionalFormatting>
  <conditionalFormatting sqref="AJ16">
    <cfRule type="expression" priority="46" dxfId="3" stopIfTrue="1">
      <formula>$AO$16</formula>
    </cfRule>
  </conditionalFormatting>
  <conditionalFormatting sqref="AJ17">
    <cfRule type="expression" priority="45" dxfId="3" stopIfTrue="1">
      <formula>$AO$17</formula>
    </cfRule>
  </conditionalFormatting>
  <conditionalFormatting sqref="AJ18">
    <cfRule type="expression" priority="44" dxfId="3" stopIfTrue="1">
      <formula>$AO$18</formula>
    </cfRule>
  </conditionalFormatting>
  <conditionalFormatting sqref="AJ19">
    <cfRule type="expression" priority="43" dxfId="3" stopIfTrue="1">
      <formula>$AO$19</formula>
    </cfRule>
  </conditionalFormatting>
  <conditionalFormatting sqref="AJ51 O61:Q61">
    <cfRule type="expression" priority="42" dxfId="3" stopIfTrue="1">
      <formula>$AO$51</formula>
    </cfRule>
  </conditionalFormatting>
  <conditionalFormatting sqref="AJ52 O62:Q62">
    <cfRule type="expression" priority="41" dxfId="3" stopIfTrue="1">
      <formula>$AO$52</formula>
    </cfRule>
  </conditionalFormatting>
  <conditionalFormatting sqref="AJ53 O63:Q63">
    <cfRule type="expression" priority="40" dxfId="3" stopIfTrue="1">
      <formula>$AO$53</formula>
    </cfRule>
  </conditionalFormatting>
  <conditionalFormatting sqref="AJ54 O64:Q64">
    <cfRule type="expression" priority="39" dxfId="3" stopIfTrue="1">
      <formula>$AO$54</formula>
    </cfRule>
  </conditionalFormatting>
  <conditionalFormatting sqref="AJ57 O68:Q68">
    <cfRule type="expression" priority="38" dxfId="3" stopIfTrue="1">
      <formula>$AO$57</formula>
    </cfRule>
  </conditionalFormatting>
  <conditionalFormatting sqref="AJ58 O70:Q70">
    <cfRule type="expression" priority="37" dxfId="3" stopIfTrue="1">
      <formula>$AO$58</formula>
    </cfRule>
  </conditionalFormatting>
  <conditionalFormatting sqref="AJ59 O71:Q71">
    <cfRule type="expression" priority="36" dxfId="3" stopIfTrue="1">
      <formula>$AO$59</formula>
    </cfRule>
  </conditionalFormatting>
  <conditionalFormatting sqref="AJ60 O72:Q72">
    <cfRule type="expression" priority="35" dxfId="3" stopIfTrue="1">
      <formula>$AO$60</formula>
    </cfRule>
  </conditionalFormatting>
  <conditionalFormatting sqref="AJ61 O73:Q73">
    <cfRule type="expression" priority="34" dxfId="3" stopIfTrue="1">
      <formula>$AO$61</formula>
    </cfRule>
  </conditionalFormatting>
  <conditionalFormatting sqref="AJ62 O74:Q74">
    <cfRule type="expression" priority="33" dxfId="3" stopIfTrue="1">
      <formula>$AO$62</formula>
    </cfRule>
  </conditionalFormatting>
  <conditionalFormatting sqref="AJ63 O75:Q75">
    <cfRule type="expression" priority="32" dxfId="3" stopIfTrue="1">
      <formula>$AO$63</formula>
    </cfRule>
  </conditionalFormatting>
  <conditionalFormatting sqref="AJ64 O76:Q76">
    <cfRule type="expression" priority="31" dxfId="3" stopIfTrue="1">
      <formula>$AO$64</formula>
    </cfRule>
  </conditionalFormatting>
  <conditionalFormatting sqref="AJ65 O77:Q77">
    <cfRule type="expression" priority="30" dxfId="3" stopIfTrue="1">
      <formula>$AO$65</formula>
    </cfRule>
  </conditionalFormatting>
  <conditionalFormatting sqref="AJ66 O78:Q78">
    <cfRule type="expression" priority="29" dxfId="3" stopIfTrue="1">
      <formula>$AO$66</formula>
    </cfRule>
  </conditionalFormatting>
  <conditionalFormatting sqref="AJ67 O79:Q79">
    <cfRule type="expression" priority="28" dxfId="3" stopIfTrue="1">
      <formula>$AO$67</formula>
    </cfRule>
  </conditionalFormatting>
  <conditionalFormatting sqref="AJ68 O80:Q80">
    <cfRule type="expression" priority="27" dxfId="3" stopIfTrue="1">
      <formula>$AO$68</formula>
    </cfRule>
  </conditionalFormatting>
  <conditionalFormatting sqref="AJ69 O82:Q82">
    <cfRule type="expression" priority="26" dxfId="3" stopIfTrue="1">
      <formula>$AO$69</formula>
    </cfRule>
  </conditionalFormatting>
  <conditionalFormatting sqref="AJ70 O83:Q83">
    <cfRule type="expression" priority="25" dxfId="3" stopIfTrue="1">
      <formula>$AO$70</formula>
    </cfRule>
  </conditionalFormatting>
  <conditionalFormatting sqref="AJ71 O84:Q84">
    <cfRule type="expression" priority="24" dxfId="3" stopIfTrue="1">
      <formula>$AO$71</formula>
    </cfRule>
  </conditionalFormatting>
  <conditionalFormatting sqref="AJ72 O85:Q85">
    <cfRule type="expression" priority="23" dxfId="3" stopIfTrue="1">
      <formula>$AO$72</formula>
    </cfRule>
  </conditionalFormatting>
  <conditionalFormatting sqref="AJ73 O86:Q86">
    <cfRule type="expression" priority="22" dxfId="3" stopIfTrue="1">
      <formula>$AO$73</formula>
    </cfRule>
  </conditionalFormatting>
  <conditionalFormatting sqref="AJ75 O88:Q88">
    <cfRule type="expression" priority="20" dxfId="3" stopIfTrue="1">
      <formula>$AO$75</formula>
    </cfRule>
  </conditionalFormatting>
  <conditionalFormatting sqref="AJ76 O89:Q89">
    <cfRule type="expression" priority="19" dxfId="3" stopIfTrue="1">
      <formula>$AO$76</formula>
    </cfRule>
  </conditionalFormatting>
  <conditionalFormatting sqref="AJ77 O90:Q90">
    <cfRule type="expression" priority="18" dxfId="3" stopIfTrue="1">
      <formula>$AO$77</formula>
    </cfRule>
  </conditionalFormatting>
  <conditionalFormatting sqref="AJ78 O91:Q91">
    <cfRule type="expression" priority="17" dxfId="3" stopIfTrue="1">
      <formula>$AO$78</formula>
    </cfRule>
  </conditionalFormatting>
  <conditionalFormatting sqref="AJ79 O92:Q92">
    <cfRule type="expression" priority="16" dxfId="3" stopIfTrue="1">
      <formula>$AO$79</formula>
    </cfRule>
  </conditionalFormatting>
  <conditionalFormatting sqref="AJ80 O93:Q93">
    <cfRule type="expression" priority="15" dxfId="3" stopIfTrue="1">
      <formula>$AO$80</formula>
    </cfRule>
  </conditionalFormatting>
  <conditionalFormatting sqref="AJ28 O36:Q36">
    <cfRule type="expression" priority="14" dxfId="3">
      <formula>$AO$28</formula>
    </cfRule>
  </conditionalFormatting>
  <conditionalFormatting sqref="AJ29 O37:Q37">
    <cfRule type="expression" priority="13" dxfId="3">
      <formula>$AO$29</formula>
    </cfRule>
  </conditionalFormatting>
  <conditionalFormatting sqref="AJ30 O38:Q38">
    <cfRule type="expression" priority="12" dxfId="3">
      <formula>$AO$30</formula>
    </cfRule>
  </conditionalFormatting>
  <conditionalFormatting sqref="O34:Q34 AJ27">
    <cfRule type="expression" priority="11" dxfId="3">
      <formula>$AO$27</formula>
    </cfRule>
  </conditionalFormatting>
  <conditionalFormatting sqref="O33:Q33 AJ26">
    <cfRule type="expression" priority="10" dxfId="3" stopIfTrue="1">
      <formula>$AO$26</formula>
    </cfRule>
  </conditionalFormatting>
  <conditionalFormatting sqref="Q6:Q7 Q9:Q10">
    <cfRule type="containsText" priority="2" dxfId="1" operator="containsText" text="u">
      <formula>NOT(ISERROR(SEARCH("u",Q6)))</formula>
    </cfRule>
    <cfRule type="containsText" priority="9" dxfId="5" operator="containsText" text="d">
      <formula>NOT(ISERROR(SEARCH("d",Q6)))</formula>
    </cfRule>
  </conditionalFormatting>
  <conditionalFormatting sqref="Q6:Q7 Q9:Q10">
    <cfRule type="containsText" priority="8" dxfId="1" operator="containsText" text="f">
      <formula>NOT(ISERROR(SEARCH("f",Q6)))</formula>
    </cfRule>
  </conditionalFormatting>
  <conditionalFormatting sqref="AJ74 O87:Q87">
    <cfRule type="expression" priority="7" dxfId="3" stopIfTrue="1">
      <formula>$AO$74</formula>
    </cfRule>
  </conditionalFormatting>
  <conditionalFormatting sqref="D13:D19">
    <cfRule type="cellIs" priority="6" dxfId="2" operator="equal" stopIfTrue="1">
      <formula>0</formula>
    </cfRule>
  </conditionalFormatting>
  <conditionalFormatting sqref="AJ20:AJ27 AJ55:AJ57 AJ66:AJ68 AJ70:AJ80">
    <cfRule type="cellIs" priority="5" dxfId="1" operator="equal" stopIfTrue="1">
      <formula>0</formula>
    </cfRule>
  </conditionalFormatting>
  <conditionalFormatting sqref="K20 K32 K44 K56 K68">
    <cfRule type="cellIs" priority="3" dxfId="0" operator="equal" stopIfTrue="1">
      <formula>0</formula>
    </cfRule>
  </conditionalFormatting>
  <dataValidations count="33">
    <dataValidation type="list" showInputMessage="1" showErrorMessage="1" prompt="This course is co-listed with Civil Engineering." sqref="W40">
      <formula1>$AW$6:$AW$7</formula1>
    </dataValidation>
    <dataValidation type="list" showInputMessage="1" showErrorMessage="1" prompt="Select course from the drop down list." sqref="W23">
      <formula1>$AW$1:$AW$4</formula1>
    </dataValidation>
    <dataValidation type="list" showInputMessage="1" showErrorMessage="1" prompt="This course is co-listed with Civil Engineering." sqref="W53">
      <formula1>$AX$6:$AX$7</formula1>
    </dataValidation>
    <dataValidation type="list" showInputMessage="1" showErrorMessage="1" prompt="This course is co-listed with Civil Engineering." sqref="W47">
      <formula1>$AW$9:$AW$10</formula1>
    </dataValidation>
    <dataValidation type="list" allowBlank="1" showInputMessage="1" showErrorMessage="1" promptTitle="Course Offering?" prompt="Please check the class schedule to see if this course is actually offered in the semester you plan on taking it." sqref="O6:O7 O9:O13 O15:O16 O18:O21 O23:O24 O70:O80 O82:O93 O26:O30 O32:O34">
      <formula1>$AT$1:$AT$6</formula1>
    </dataValidation>
    <dataValidation type="list" allowBlank="1" showInputMessage="1" showErrorMessage="1" prompt="Select semester from drop down menu." sqref="O58 O60 O40:O43 O46:O51 O53:O54">
      <formula1>$AS$1:$AS$4</formula1>
    </dataValidation>
    <dataValidation type="list" allowBlank="1" showInputMessage="1" showErrorMessage="1" prompt="Select semester from drop down menu." sqref="O45 O52 O55 O59 O61:O62">
      <formula1>$AQ$1:$AQ$3</formula1>
    </dataValidation>
    <dataValidation type="list" allowBlank="1" showInputMessage="1" showErrorMessage="1" prompt="Select semester from drop down menu." sqref="O56">
      <formula1>$AP$1:$AP$3</formula1>
    </dataValidation>
    <dataValidation type="list" allowBlank="1" showInputMessage="1" showErrorMessage="1" prompt="Select semester from drop down menu." sqref="O57">
      <formula1>$AR$1:$AR$3</formula1>
    </dataValidation>
    <dataValidation type="list" allowBlank="1" showInputMessage="1" showErrorMessage="1" prompt="Select semester from drop down menu." sqref="O63:O64">
      <formula1>$AP$5:$AP$6</formula1>
    </dataValidation>
    <dataValidation type="list" allowBlank="1" showInputMessage="1" showErrorMessage="1" sqref="R20">
      <formula1>$AP$13:$AP$14</formula1>
    </dataValidation>
    <dataValidation errorStyle="warning" type="list" allowBlank="1" showInputMessage="1" showErrorMessage="1" promptTitle="Other Grades?" prompt="You can enter + and - grades here but they do not affect your GPA. You can ignore the error message which follows and click &quot;Yes&quot; to continue. &#10;&#10;You can also enter grades of F. The error message which follows is for this grade." errorTitle="Minimum Grade" error="A minimum grade of a &quot;D&quot; is required for courses that are not a prerequisite for any other course." sqref="Q54 Q56:Q59 Q66:Q68 Q62:Q64">
      <formula1>$AU$12:$AU$19</formula1>
    </dataValidation>
    <dataValidation errorStyle="warning" type="list" allowBlank="1" showInputMessage="1" showErrorMessage="1" promptTitle="Other Grades?" prompt="You can enter + and - grades here but they do not affect your GPA. You can ignore the error message which follows and click &quot;Yes&quot; to continue. &#10;&#10;You can also enter grades of D or F. The error message which follows is for these grades." errorTitle="Minimum Grade" error="A minimum grade of a &quot;C&quot; is required for courses that are a prerequisite for other courses." sqref="Q6 Q18:Q21 Q15:Q16 Q9:Q11 Q70:Q77">
      <formula1>$AU$1:$AU$8</formula1>
    </dataValidation>
    <dataValidation errorStyle="warning" type="list" allowBlank="1" showInputMessage="1" showErrorMessage="1" promptTitle="Other Grades?" prompt="You can enter + and - grades here but they do not affect your GPA. You can ignore the error message which follows and click &quot;Yes&quot; to continue.&#10;&#10;You can also enter grades of D or F. The error message which follows is for these grades." errorTitle="Minimum Grade" error="A minimum grade of a &quot;C&quot; is required for courses that are a prerequisite for other courses." sqref="Q60 Q36:Q38 Q40:Q43 Q45:Q53 Q55 Q12">
      <formula1>$AU$1:$AU$7</formula1>
    </dataValidation>
    <dataValidation type="list" showInputMessage="1" showErrorMessage="1" prompt="Select semester from drop down menu." sqref="D5">
      <formula1>$AS$2:$AS$4</formula1>
    </dataValidation>
    <dataValidation errorStyle="warning" type="list" allowBlank="1" showInputMessage="1" showErrorMessage="1" promptTitle="Other Grades?" prompt="You can enter + and - grades here but they do not affect your GPA. You can ignore the error message which follows and click &quot;Yes&quot; to continue.&#10;&#10;You can also enter a grade of F. The error message which follows is for this grade." errorTitle="Minimum Grade" error="A minimum grade of a &quot;D&quot; is required for courses that are not a prerequisite for any other course." sqref="Q23:Q24">
      <formula1>$AU$12:$AU$20</formula1>
    </dataValidation>
    <dataValidation type="list" allowBlank="1" showInputMessage="1" showErrorMessage="1" promptTitle="Waive Prereq Error?" prompt="If your advisor has approved a prereq override for you, then you can enter &quot;Y&quot; here and the prereq error will be ignored." sqref="AN2:AN80">
      <formula1>$AP$12:$AP$13</formula1>
    </dataValidation>
    <dataValidation allowBlank="1" showInputMessage="1" showErrorMessage="1" prompt="See HSBS/HFA Requirements document at: http://www.uah.edu/images/colleges/engineering/CUE2%20Files/Forms/HSBS_HFA_Requirements.pdf" sqref="W26:W30 W32:W34"/>
    <dataValidation type="whole" allowBlank="1" showInputMessage="1" showErrorMessage="1" prompt="Enter year in YYYY format" sqref="E5 P6:P7 P9:P13 P15:P16 P18:P21 P23:P24 P26:P30 P32:P34 P36:P38 P40:P43 P45:P64 P66:P68 P82:P93 P70:P80">
      <formula1>1990</formula1>
      <formula2>2040</formula2>
    </dataValidation>
    <dataValidation type="list" allowBlank="1" showInputMessage="1" showErrorMessage="1" prompt="Enter &quot;N&quot; here only if you have repeated a course and you want to include the course here and exclude this grade attempt from your computed GPA." sqref="N89:N93">
      <formula1>$AP$13:$AP$14</formula1>
    </dataValidation>
    <dataValidation type="whole" allowBlank="1" showInputMessage="1" showErrorMessage="1" prompt="Enter the number of course credit hours" sqref="X32:X34 X66:X68 X78:X80 X83:X93">
      <formula1>0</formula1>
      <formula2>5</formula2>
    </dataValidation>
    <dataValidation type="textLength" operator="equal" allowBlank="1" showInputMessage="1" showErrorMessage="1" prompt="Enter A# in A25###### format" sqref="C3:E3">
      <formula1>9</formula1>
    </dataValidation>
    <dataValidation type="list" allowBlank="1" showInputMessage="1" showErrorMessage="1" prompt="This course is no longer being offered. If you have already taken this course, enter the semester and year you took it." sqref="O36:O38">
      <formula1>$AS$1:$AS$4</formula1>
    </dataValidation>
    <dataValidation type="list" allowBlank="1" showInputMessage="1" showErrorMessage="1" promptTitle="Course Offering?" prompt="Please check the class schedule to see if this course is actually offered in the semester you plan on taking it." sqref="O66:O68">
      <formula1>$AS$1:$AS$4</formula1>
    </dataValidation>
    <dataValidation allowBlank="1" showInputMessage="1" showErrorMessage="1" prompt="Enter &quot;Y&quot; if this is an MAE course." sqref="R83:R93 R78:R80 R32:R33"/>
    <dataValidation allowBlank="1" showInputMessage="1" showErrorMessage="1" prompt="Enter &quot;Y&quot; if this is an MAE course.&#10;" sqref="R34"/>
    <dataValidation errorStyle="warning" type="list" allowBlank="1" showInputMessage="1" showErrorMessage="1" promptTitle="Other Grades?" prompt="You can enter + and - grades here but they do not affect your GPA. You can ignore the error message which follows and click &quot;Yes&quot; to continue.&#10;&#10;You can also enter a grade of F. The error message which follows is for this grade." errorTitle="Minimum Grade" error="A minimum grade of a &quot;D&quot; is required for courses that are not a prerequisite for any other course." sqref="Q61">
      <formula1>$AU$12:$AU$19</formula1>
    </dataValidation>
    <dataValidation errorStyle="warning" type="list" allowBlank="1" showInputMessage="1" showErrorMessage="1" promptTitle="Other Grades?" prompt="You can enter + and - grades here but they do not affect your GPA. You can ignore the error message which follows and click &quot;Yes&quot; to continue.&#10;&#10;You can also enter grades of F or U. The error message which follows is for these grades." errorTitle="Minimum Grade" error="A minimum grade of a &quot;D&quot; is required for courses that are not a prerequisite for any other course." sqref="Q7 Q82:Q88 Q32:Q34 Q78:Q80 Q26:Q30">
      <formula1>$AV$1:$AV$11</formula1>
    </dataValidation>
    <dataValidation errorStyle="information" type="list" allowBlank="1" showInputMessage="1" showErrorMessage="1" promptTitle="Other Grades?" prompt="You can enter + and - grades here but they do not affect your GPA." errorTitle="Minimum Grade" error="You can enter + and - grades here but according to the UAH system of grading, they do not affect your GPA." sqref="Q89:Q93">
      <formula1>$AV$12:$AV$25</formula1>
    </dataValidation>
    <dataValidation errorStyle="warning" type="list" allowBlank="1" showInputMessage="1" showErrorMessage="1" promptTitle="Other Grades?" prompt="You can enter + and - grades here but they do not affect your GPA. You can ignore the error message which follows and click &quot;Yes&quot; to continue.&#10;&#10;You can also enter grades of D or F. The error message which follows is for these grades." errorTitle="Minimum Grade" error="A minimum grade of a &quot;C&quot; is required for courses that are a prerequisite for other courses." sqref="Q13">
      <formula1>$AU$1:$AU$7</formula1>
    </dataValidation>
    <dataValidation allowBlank="1" showInputMessage="1" showErrorMessage="1" prompt="Enter course name." sqref="Y26:Y30 Y32:Y34 Y78:Y80 Y83:Y93"/>
    <dataValidation allowBlank="1" showInputMessage="1" showErrorMessage="1" prompt="Enter course designation." sqref="W66:W68 W78:W80 W83:W93"/>
    <dataValidation allowBlank="1" showInputMessage="1" showErrorMessage="1" prompt="Enter your name last name first." sqref="C2:E2"/>
  </dataValidations>
  <hyperlinks>
    <hyperlink ref="W101" r:id="rId1" display="http://www.uah.edu/images/Engineering/mechanical-aerospace/pdfs/Planned%20Offering%20of%20Undergraduate%20Courses%202009-2014%20rev%202-21-12.pdf"/>
    <hyperlink ref="Z28" r:id="rId2" display="http://www.uah.edu/images/colleges/engineering/CUE2%20Files/Forms/HSBS_HFA_Requirements.pdf"/>
  </hyperlinks>
  <printOptions horizontalCentered="1" verticalCentered="1"/>
  <pageMargins left="0.5" right="0.5" top="0.25" bottom="0.25" header="0.3" footer="0.3"/>
  <pageSetup fitToHeight="1" fitToWidth="1" horizontalDpi="600" verticalDpi="600" orientation="portrait" scale="56" r:id="rId3"/>
  <ignoredErrors>
    <ignoredError sqref="AK15 AI15 BC2:BC8 BC9:BC14 BF2:BL14 AJ5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Alabama in Huntsville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Armentrout</dc:creator>
  <cp:keywords/>
  <dc:description/>
  <cp:lastModifiedBy>Claudia</cp:lastModifiedBy>
  <cp:lastPrinted>2014-03-12T15:00:46Z</cp:lastPrinted>
  <dcterms:created xsi:type="dcterms:W3CDTF">2005-11-15T22:00:50Z</dcterms:created>
  <dcterms:modified xsi:type="dcterms:W3CDTF">2014-03-27T14:41:37Z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